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ylane.liberato\Downloads\"/>
    </mc:Choice>
  </mc:AlternateContent>
  <bookViews>
    <workbookView xWindow="-120" yWindow="-120" windowWidth="29040" windowHeight="15840" activeTab="1"/>
  </bookViews>
  <sheets>
    <sheet name="PROPOSTA ORÇAMENTARIA 2020" sheetId="1" r:id="rId1"/>
    <sheet name="Anexo da Tabela da ASCE" sheetId="7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9" i="1" l="1"/>
  <c r="K766" i="1" l="1"/>
  <c r="K767" i="1"/>
  <c r="K768" i="1"/>
  <c r="L768" i="1"/>
  <c r="L767" i="1" s="1"/>
  <c r="M768" i="1"/>
  <c r="M767" i="1" s="1"/>
  <c r="N768" i="1"/>
  <c r="N767" i="1" s="1"/>
  <c r="O768" i="1"/>
  <c r="O767" i="1" s="1"/>
  <c r="P768" i="1"/>
  <c r="P767" i="1" s="1"/>
  <c r="Q768" i="1"/>
  <c r="Q767" i="1" s="1"/>
  <c r="R768" i="1"/>
  <c r="R767" i="1" s="1"/>
  <c r="S768" i="1"/>
  <c r="S767" i="1" s="1"/>
  <c r="T768" i="1"/>
  <c r="T767" i="1" s="1"/>
  <c r="U768" i="1"/>
  <c r="U767" i="1" s="1"/>
  <c r="V768" i="1"/>
  <c r="V767" i="1" s="1"/>
  <c r="W768" i="1"/>
  <c r="W767" i="1" s="1"/>
  <c r="K769" i="1"/>
  <c r="X769" i="1"/>
  <c r="X768" i="1" s="1"/>
  <c r="X767" i="1" s="1"/>
  <c r="K770" i="1"/>
  <c r="X770" i="1"/>
  <c r="K771" i="1"/>
  <c r="L771" i="1"/>
  <c r="M771" i="1"/>
  <c r="N771" i="1"/>
  <c r="O771" i="1"/>
  <c r="P771" i="1"/>
  <c r="Q771" i="1"/>
  <c r="R771" i="1"/>
  <c r="S771" i="1"/>
  <c r="T771" i="1"/>
  <c r="U771" i="1"/>
  <c r="V771" i="1"/>
  <c r="W771" i="1"/>
  <c r="X771" i="1"/>
  <c r="K772" i="1"/>
  <c r="X772" i="1"/>
  <c r="K773" i="1"/>
  <c r="L773" i="1"/>
  <c r="K774" i="1"/>
  <c r="L774" i="1"/>
  <c r="M774" i="1"/>
  <c r="M773" i="1" s="1"/>
  <c r="N774" i="1"/>
  <c r="N773" i="1" s="1"/>
  <c r="Q774" i="1"/>
  <c r="Q773" i="1" s="1"/>
  <c r="R774" i="1"/>
  <c r="R773" i="1" s="1"/>
  <c r="S774" i="1"/>
  <c r="S773" i="1" s="1"/>
  <c r="V774" i="1"/>
  <c r="V773" i="1" s="1"/>
  <c r="W774" i="1"/>
  <c r="W773" i="1" s="1"/>
  <c r="K776" i="1"/>
  <c r="X776" i="1"/>
  <c r="K777" i="1"/>
  <c r="X777" i="1"/>
  <c r="K778" i="1"/>
  <c r="X778" i="1"/>
  <c r="K779" i="1"/>
  <c r="X779" i="1"/>
  <c r="K780" i="1"/>
  <c r="X780" i="1"/>
  <c r="K781" i="1"/>
  <c r="X781" i="1"/>
  <c r="K782" i="1"/>
  <c r="X782" i="1"/>
  <c r="J783" i="1"/>
  <c r="X783" i="1"/>
  <c r="J784" i="1"/>
  <c r="X784" i="1"/>
  <c r="J785" i="1"/>
  <c r="K785" i="1"/>
  <c r="X785" i="1"/>
  <c r="J786" i="1"/>
  <c r="X786" i="1"/>
  <c r="J787" i="1"/>
  <c r="K787" i="1"/>
  <c r="X787" i="1"/>
  <c r="J788" i="1"/>
  <c r="X788" i="1"/>
  <c r="J789" i="1"/>
  <c r="K789" i="1"/>
  <c r="X789" i="1"/>
  <c r="J790" i="1"/>
  <c r="X790" i="1"/>
  <c r="J791" i="1"/>
  <c r="K791" i="1"/>
  <c r="X791" i="1"/>
  <c r="K792" i="1"/>
  <c r="P792" i="1" s="1"/>
  <c r="K793" i="1"/>
  <c r="P793" i="1"/>
  <c r="X793" i="1" s="1"/>
  <c r="K794" i="1"/>
  <c r="P794" i="1" s="1"/>
  <c r="X794" i="1" s="1"/>
  <c r="J797" i="1"/>
  <c r="K797" i="1"/>
  <c r="T797" i="1"/>
  <c r="X797" i="1"/>
  <c r="J799" i="1"/>
  <c r="K799" i="1"/>
  <c r="T799" i="1"/>
  <c r="X799" i="1"/>
  <c r="J801" i="1"/>
  <c r="K801" i="1"/>
  <c r="T801" i="1"/>
  <c r="X801" i="1"/>
  <c r="J803" i="1"/>
  <c r="K803" i="1"/>
  <c r="T803" i="1"/>
  <c r="X803" i="1"/>
  <c r="L804" i="1"/>
  <c r="T804" i="1"/>
  <c r="X804" i="1" s="1"/>
  <c r="K805" i="1"/>
  <c r="T805" i="1"/>
  <c r="U805" i="1"/>
  <c r="K806" i="1"/>
  <c r="X806" i="1"/>
  <c r="K807" i="1"/>
  <c r="X807" i="1"/>
  <c r="K808" i="1"/>
  <c r="L808" i="1"/>
  <c r="M808" i="1"/>
  <c r="N808" i="1"/>
  <c r="O808" i="1"/>
  <c r="P808" i="1"/>
  <c r="Q808" i="1"/>
  <c r="R808" i="1"/>
  <c r="S808" i="1"/>
  <c r="T808" i="1"/>
  <c r="U808" i="1"/>
  <c r="V808" i="1"/>
  <c r="W808" i="1"/>
  <c r="K809" i="1"/>
  <c r="X809" i="1"/>
  <c r="X808" i="1" s="1"/>
  <c r="K810" i="1"/>
  <c r="X810" i="1"/>
  <c r="K811" i="1"/>
  <c r="X811" i="1"/>
  <c r="K812" i="1"/>
  <c r="X812" i="1"/>
  <c r="K813" i="1"/>
  <c r="X813" i="1"/>
  <c r="K814" i="1"/>
  <c r="X814" i="1"/>
  <c r="K815" i="1"/>
  <c r="X815" i="1"/>
  <c r="K816" i="1"/>
  <c r="X816" i="1"/>
  <c r="K817" i="1"/>
  <c r="X817" i="1"/>
  <c r="K818" i="1"/>
  <c r="X818" i="1"/>
  <c r="K819" i="1"/>
  <c r="X819" i="1"/>
  <c r="K820" i="1"/>
  <c r="X820" i="1"/>
  <c r="K821" i="1"/>
  <c r="X821" i="1"/>
  <c r="K822" i="1"/>
  <c r="X822" i="1"/>
  <c r="K823" i="1"/>
  <c r="X823" i="1"/>
  <c r="K824" i="1"/>
  <c r="X824" i="1"/>
  <c r="K825" i="1"/>
  <c r="X825" i="1"/>
  <c r="K826" i="1"/>
  <c r="O826" i="1"/>
  <c r="K827" i="1"/>
  <c r="L827" i="1"/>
  <c r="L826" i="1" s="1"/>
  <c r="M827" i="1"/>
  <c r="N827" i="1"/>
  <c r="N826" i="1" s="1"/>
  <c r="O827" i="1"/>
  <c r="P827" i="1"/>
  <c r="P826" i="1" s="1"/>
  <c r="Q827" i="1"/>
  <c r="R827" i="1"/>
  <c r="R826" i="1" s="1"/>
  <c r="S827" i="1"/>
  <c r="T827" i="1"/>
  <c r="T826" i="1" s="1"/>
  <c r="U827" i="1"/>
  <c r="V827" i="1"/>
  <c r="V826" i="1" s="1"/>
  <c r="W827" i="1"/>
  <c r="K828" i="1"/>
  <c r="X828" i="1"/>
  <c r="X827" i="1" s="1"/>
  <c r="K829" i="1"/>
  <c r="X829" i="1"/>
  <c r="K830" i="1"/>
  <c r="X830" i="1"/>
  <c r="K831" i="1"/>
  <c r="L831" i="1"/>
  <c r="M831" i="1"/>
  <c r="N831" i="1"/>
  <c r="O831" i="1"/>
  <c r="P831" i="1"/>
  <c r="Q831" i="1"/>
  <c r="R831" i="1"/>
  <c r="S831" i="1"/>
  <c r="S826" i="1" s="1"/>
  <c r="T831" i="1"/>
  <c r="U831" i="1"/>
  <c r="V831" i="1"/>
  <c r="W831" i="1"/>
  <c r="W826" i="1" s="1"/>
  <c r="K832" i="1"/>
  <c r="X832" i="1"/>
  <c r="K833" i="1"/>
  <c r="X833" i="1"/>
  <c r="K834" i="1"/>
  <c r="X834" i="1"/>
  <c r="K835" i="1"/>
  <c r="X835" i="1"/>
  <c r="K836" i="1"/>
  <c r="X836" i="1"/>
  <c r="K837" i="1"/>
  <c r="L837" i="1"/>
  <c r="M837" i="1"/>
  <c r="N837" i="1"/>
  <c r="O837" i="1"/>
  <c r="P837" i="1"/>
  <c r="Q837" i="1"/>
  <c r="R837" i="1"/>
  <c r="S837" i="1"/>
  <c r="T837" i="1"/>
  <c r="U837" i="1"/>
  <c r="V837" i="1"/>
  <c r="W837" i="1"/>
  <c r="K838" i="1"/>
  <c r="X838" i="1"/>
  <c r="X837" i="1" s="1"/>
  <c r="K839" i="1"/>
  <c r="X839" i="1"/>
  <c r="K840" i="1"/>
  <c r="X840" i="1"/>
  <c r="K841" i="1"/>
  <c r="X841" i="1"/>
  <c r="K842" i="1"/>
  <c r="X842" i="1"/>
  <c r="K843" i="1"/>
  <c r="X843" i="1"/>
  <c r="K844" i="1"/>
  <c r="X844" i="1"/>
  <c r="K845" i="1"/>
  <c r="X845" i="1"/>
  <c r="K846" i="1"/>
  <c r="X846" i="1"/>
  <c r="K847" i="1"/>
  <c r="K848" i="1"/>
  <c r="X848" i="1"/>
  <c r="K849" i="1"/>
  <c r="K850" i="1"/>
  <c r="K851" i="1"/>
  <c r="X851" i="1"/>
  <c r="K852" i="1"/>
  <c r="X852" i="1"/>
  <c r="K853" i="1"/>
  <c r="L853" i="1" s="1"/>
  <c r="M853" i="1"/>
  <c r="K854" i="1"/>
  <c r="X854" i="1"/>
  <c r="K855" i="1"/>
  <c r="X855" i="1"/>
  <c r="K856" i="1"/>
  <c r="X856" i="1"/>
  <c r="K857" i="1"/>
  <c r="X857" i="1"/>
  <c r="K858" i="1"/>
  <c r="K859" i="1"/>
  <c r="L859" i="1"/>
  <c r="J860" i="1"/>
  <c r="K860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K862" i="1"/>
  <c r="X862" i="1"/>
  <c r="X861" i="1" s="1"/>
  <c r="K863" i="1"/>
  <c r="L863" i="1"/>
  <c r="M863" i="1"/>
  <c r="N863" i="1"/>
  <c r="O863" i="1"/>
  <c r="P863" i="1"/>
  <c r="Q863" i="1"/>
  <c r="R863" i="1"/>
  <c r="S863" i="1"/>
  <c r="T863" i="1"/>
  <c r="U863" i="1"/>
  <c r="V863" i="1"/>
  <c r="W863" i="1"/>
  <c r="K864" i="1"/>
  <c r="X864" i="1"/>
  <c r="X863" i="1" s="1"/>
  <c r="K865" i="1"/>
  <c r="X865" i="1"/>
  <c r="K866" i="1"/>
  <c r="S866" i="1"/>
  <c r="K867" i="1"/>
  <c r="L867" i="1"/>
  <c r="L866" i="1" s="1"/>
  <c r="M867" i="1"/>
  <c r="M866" i="1" s="1"/>
  <c r="N867" i="1"/>
  <c r="N866" i="1" s="1"/>
  <c r="O867" i="1"/>
  <c r="P867" i="1"/>
  <c r="P866" i="1" s="1"/>
  <c r="Q867" i="1"/>
  <c r="Q866" i="1" s="1"/>
  <c r="R867" i="1"/>
  <c r="R866" i="1" s="1"/>
  <c r="S867" i="1"/>
  <c r="T867" i="1"/>
  <c r="T866" i="1" s="1"/>
  <c r="U867" i="1"/>
  <c r="U866" i="1" s="1"/>
  <c r="V867" i="1"/>
  <c r="V866" i="1" s="1"/>
  <c r="W867" i="1"/>
  <c r="K868" i="1"/>
  <c r="X868" i="1"/>
  <c r="X867" i="1" s="1"/>
  <c r="K869" i="1"/>
  <c r="L869" i="1"/>
  <c r="M869" i="1"/>
  <c r="N869" i="1"/>
  <c r="O869" i="1"/>
  <c r="O866" i="1" s="1"/>
  <c r="P869" i="1"/>
  <c r="Q869" i="1"/>
  <c r="R869" i="1"/>
  <c r="S869" i="1"/>
  <c r="T869" i="1"/>
  <c r="U869" i="1"/>
  <c r="V869" i="1"/>
  <c r="W869" i="1"/>
  <c r="W866" i="1" s="1"/>
  <c r="K870" i="1"/>
  <c r="X870" i="1"/>
  <c r="X869" i="1" s="1"/>
  <c r="K871" i="1"/>
  <c r="X871" i="1"/>
  <c r="K872" i="1"/>
  <c r="X872" i="1"/>
  <c r="K873" i="1"/>
  <c r="L874" i="1"/>
  <c r="J875" i="1"/>
  <c r="K875" i="1" s="1"/>
  <c r="O875" i="1"/>
  <c r="P875" i="1"/>
  <c r="Q875" i="1"/>
  <c r="T875" i="1" s="1"/>
  <c r="S875" i="1"/>
  <c r="V875" i="1" s="1"/>
  <c r="J876" i="1"/>
  <c r="K876" i="1" s="1"/>
  <c r="L876" i="1" s="1"/>
  <c r="K877" i="1"/>
  <c r="L877" i="1"/>
  <c r="M877" i="1"/>
  <c r="N877" i="1"/>
  <c r="O877" i="1"/>
  <c r="P877" i="1"/>
  <c r="Q877" i="1"/>
  <c r="R877" i="1"/>
  <c r="S877" i="1"/>
  <c r="T877" i="1"/>
  <c r="U877" i="1"/>
  <c r="V877" i="1"/>
  <c r="W877" i="1"/>
  <c r="X877" i="1"/>
  <c r="K878" i="1"/>
  <c r="X878" i="1"/>
  <c r="K879" i="1"/>
  <c r="X879" i="1"/>
  <c r="K880" i="1"/>
  <c r="X880" i="1"/>
  <c r="K881" i="1"/>
  <c r="L881" i="1"/>
  <c r="M881" i="1"/>
  <c r="P881" i="1"/>
  <c r="R881" i="1"/>
  <c r="T881" i="1"/>
  <c r="V881" i="1"/>
  <c r="K882" i="1"/>
  <c r="L882" i="1"/>
  <c r="M882" i="1"/>
  <c r="N882" i="1"/>
  <c r="O882" i="1" s="1"/>
  <c r="P882" i="1" s="1"/>
  <c r="Q882" i="1" s="1"/>
  <c r="R882" i="1" s="1"/>
  <c r="S882" i="1" s="1"/>
  <c r="T882" i="1" s="1"/>
  <c r="U882" i="1" s="1"/>
  <c r="V882" i="1" s="1"/>
  <c r="W882" i="1" s="1"/>
  <c r="K883" i="1"/>
  <c r="J884" i="1"/>
  <c r="K884" i="1"/>
  <c r="N884" i="1"/>
  <c r="O884" i="1"/>
  <c r="P884" i="1"/>
  <c r="Q884" i="1"/>
  <c r="Q881" i="1" s="1"/>
  <c r="R884" i="1"/>
  <c r="S884" i="1"/>
  <c r="S881" i="1" s="1"/>
  <c r="T884" i="1"/>
  <c r="U884" i="1"/>
  <c r="U881" i="1" s="1"/>
  <c r="V884" i="1"/>
  <c r="W884" i="1"/>
  <c r="W881" i="1" s="1"/>
  <c r="K885" i="1"/>
  <c r="X885" i="1"/>
  <c r="J886" i="1"/>
  <c r="K886" i="1" s="1"/>
  <c r="N886" i="1" s="1"/>
  <c r="J887" i="1"/>
  <c r="K887" i="1" s="1"/>
  <c r="N887" i="1" s="1"/>
  <c r="X887" i="1" s="1"/>
  <c r="J888" i="1"/>
  <c r="K888" i="1" s="1"/>
  <c r="N888" i="1" s="1"/>
  <c r="X888" i="1" s="1"/>
  <c r="K889" i="1"/>
  <c r="M889" i="1"/>
  <c r="N889" i="1"/>
  <c r="O889" i="1"/>
  <c r="P889" i="1"/>
  <c r="S889" i="1"/>
  <c r="K890" i="1"/>
  <c r="X890" i="1"/>
  <c r="K891" i="1"/>
  <c r="X891" i="1"/>
  <c r="K892" i="1"/>
  <c r="X892" i="1"/>
  <c r="K893" i="1"/>
  <c r="X893" i="1"/>
  <c r="K894" i="1"/>
  <c r="X894" i="1"/>
  <c r="K895" i="1"/>
  <c r="X895" i="1"/>
  <c r="K896" i="1"/>
  <c r="X896" i="1"/>
  <c r="K897" i="1"/>
  <c r="X897" i="1"/>
  <c r="K898" i="1"/>
  <c r="X898" i="1"/>
  <c r="K899" i="1"/>
  <c r="X899" i="1"/>
  <c r="K900" i="1"/>
  <c r="X900" i="1"/>
  <c r="K901" i="1"/>
  <c r="X901" i="1"/>
  <c r="K902" i="1"/>
  <c r="X902" i="1"/>
  <c r="J903" i="1"/>
  <c r="L903" i="1"/>
  <c r="L889" i="1" s="1"/>
  <c r="Q903" i="1"/>
  <c r="X903" i="1" s="1"/>
  <c r="J904" i="1"/>
  <c r="K904" i="1"/>
  <c r="Q904" i="1"/>
  <c r="R904" i="1"/>
  <c r="R889" i="1" s="1"/>
  <c r="S904" i="1"/>
  <c r="T904" i="1" s="1"/>
  <c r="K905" i="1"/>
  <c r="X905" i="1"/>
  <c r="K906" i="1"/>
  <c r="X906" i="1"/>
  <c r="K907" i="1"/>
  <c r="X907" i="1"/>
  <c r="K908" i="1"/>
  <c r="X908" i="1"/>
  <c r="K909" i="1"/>
  <c r="X909" i="1"/>
  <c r="K910" i="1"/>
  <c r="M910" i="1"/>
  <c r="O910" i="1"/>
  <c r="P910" i="1"/>
  <c r="Q910" i="1"/>
  <c r="R910" i="1"/>
  <c r="S910" i="1"/>
  <c r="T910" i="1"/>
  <c r="U910" i="1"/>
  <c r="V910" i="1"/>
  <c r="W910" i="1"/>
  <c r="X911" i="1"/>
  <c r="F914" i="1"/>
  <c r="J914" i="1"/>
  <c r="K914" i="1"/>
  <c r="N914" i="1"/>
  <c r="X915" i="1"/>
  <c r="K916" i="1"/>
  <c r="K915" i="1" s="1"/>
  <c r="X916" i="1"/>
  <c r="K917" i="1"/>
  <c r="X917" i="1"/>
  <c r="K918" i="1"/>
  <c r="L918" i="1"/>
  <c r="L910" i="1" s="1"/>
  <c r="M918" i="1"/>
  <c r="X918" i="1" s="1"/>
  <c r="K919" i="1"/>
  <c r="X919" i="1"/>
  <c r="J920" i="1"/>
  <c r="J921" i="1"/>
  <c r="J923" i="1"/>
  <c r="K924" i="1"/>
  <c r="L924" i="1"/>
  <c r="M924" i="1"/>
  <c r="N924" i="1"/>
  <c r="O924" i="1"/>
  <c r="P924" i="1"/>
  <c r="Q924" i="1"/>
  <c r="R924" i="1"/>
  <c r="S924" i="1"/>
  <c r="T924" i="1"/>
  <c r="U924" i="1"/>
  <c r="V924" i="1"/>
  <c r="W924" i="1"/>
  <c r="K925" i="1"/>
  <c r="X925" i="1"/>
  <c r="X924" i="1" s="1"/>
  <c r="K926" i="1"/>
  <c r="L926" i="1"/>
  <c r="M926" i="1"/>
  <c r="N926" i="1"/>
  <c r="O926" i="1"/>
  <c r="P926" i="1"/>
  <c r="Q926" i="1"/>
  <c r="R926" i="1"/>
  <c r="S926" i="1"/>
  <c r="T926" i="1"/>
  <c r="U926" i="1"/>
  <c r="V926" i="1"/>
  <c r="W926" i="1"/>
  <c r="X926" i="1"/>
  <c r="K927" i="1"/>
  <c r="X927" i="1"/>
  <c r="K928" i="1"/>
  <c r="X928" i="1"/>
  <c r="K929" i="1"/>
  <c r="X929" i="1"/>
  <c r="K930" i="1"/>
  <c r="X930" i="1"/>
  <c r="K931" i="1"/>
  <c r="X931" i="1"/>
  <c r="K932" i="1"/>
  <c r="L932" i="1"/>
  <c r="M932" i="1"/>
  <c r="N932" i="1"/>
  <c r="O932" i="1"/>
  <c r="P932" i="1"/>
  <c r="Q932" i="1"/>
  <c r="R932" i="1"/>
  <c r="S932" i="1"/>
  <c r="T932" i="1"/>
  <c r="U932" i="1"/>
  <c r="V932" i="1"/>
  <c r="W932" i="1"/>
  <c r="X932" i="1"/>
  <c r="K933" i="1"/>
  <c r="X933" i="1"/>
  <c r="K934" i="1"/>
  <c r="X934" i="1"/>
  <c r="K935" i="1"/>
  <c r="K936" i="1"/>
  <c r="X936" i="1"/>
  <c r="K937" i="1"/>
  <c r="M937" i="1"/>
  <c r="N937" i="1"/>
  <c r="O937" i="1"/>
  <c r="P937" i="1"/>
  <c r="P935" i="1" s="1"/>
  <c r="K938" i="1"/>
  <c r="M938" i="1"/>
  <c r="N938" i="1"/>
  <c r="O938" i="1"/>
  <c r="P938" i="1"/>
  <c r="K939" i="1"/>
  <c r="M939" i="1"/>
  <c r="N939" i="1"/>
  <c r="O939" i="1"/>
  <c r="P939" i="1"/>
  <c r="X939" i="1"/>
  <c r="K940" i="1"/>
  <c r="M940" i="1"/>
  <c r="N940" i="1"/>
  <c r="O940" i="1"/>
  <c r="P940" i="1"/>
  <c r="K941" i="1"/>
  <c r="M941" i="1"/>
  <c r="N941" i="1"/>
  <c r="O941" i="1"/>
  <c r="P941" i="1"/>
  <c r="X941" i="1"/>
  <c r="K942" i="1"/>
  <c r="M942" i="1"/>
  <c r="N942" i="1"/>
  <c r="O942" i="1"/>
  <c r="P942" i="1"/>
  <c r="L943" i="1"/>
  <c r="M943" i="1"/>
  <c r="N943" i="1"/>
  <c r="O943" i="1"/>
  <c r="P943" i="1"/>
  <c r="K944" i="1"/>
  <c r="X944" i="1"/>
  <c r="J945" i="1"/>
  <c r="Q945" i="1"/>
  <c r="S945" i="1"/>
  <c r="U945" i="1"/>
  <c r="W945" i="1"/>
  <c r="J946" i="1"/>
  <c r="K946" i="1"/>
  <c r="Q946" i="1"/>
  <c r="R946" i="1"/>
  <c r="S946" i="1"/>
  <c r="T946" i="1"/>
  <c r="U946" i="1"/>
  <c r="V946" i="1"/>
  <c r="W946" i="1"/>
  <c r="X946" i="1"/>
  <c r="J947" i="1"/>
  <c r="K947" i="1"/>
  <c r="Q947" i="1"/>
  <c r="R947" i="1"/>
  <c r="S947" i="1"/>
  <c r="T947" i="1"/>
  <c r="U947" i="1"/>
  <c r="V947" i="1"/>
  <c r="W947" i="1"/>
  <c r="X947" i="1"/>
  <c r="J948" i="1"/>
  <c r="K948" i="1"/>
  <c r="Q948" i="1"/>
  <c r="R948" i="1"/>
  <c r="S948" i="1"/>
  <c r="T948" i="1"/>
  <c r="U948" i="1"/>
  <c r="V948" i="1"/>
  <c r="W948" i="1"/>
  <c r="X948" i="1"/>
  <c r="J949" i="1"/>
  <c r="K949" i="1"/>
  <c r="Q949" i="1"/>
  <c r="R949" i="1"/>
  <c r="S949" i="1"/>
  <c r="T949" i="1"/>
  <c r="U949" i="1"/>
  <c r="V949" i="1"/>
  <c r="J950" i="1"/>
  <c r="K950" i="1"/>
  <c r="Q950" i="1"/>
  <c r="R950" i="1"/>
  <c r="S950" i="1"/>
  <c r="T950" i="1"/>
  <c r="U950" i="1"/>
  <c r="V950" i="1"/>
  <c r="W950" i="1"/>
  <c r="X950" i="1"/>
  <c r="J951" i="1"/>
  <c r="K951" i="1"/>
  <c r="R951" i="1"/>
  <c r="T951" i="1"/>
  <c r="V951" i="1"/>
  <c r="J952" i="1"/>
  <c r="K952" i="1"/>
  <c r="Q952" i="1"/>
  <c r="R952" i="1"/>
  <c r="S952" i="1"/>
  <c r="T952" i="1"/>
  <c r="U952" i="1"/>
  <c r="V952" i="1"/>
  <c r="W952" i="1"/>
  <c r="X952" i="1"/>
  <c r="J953" i="1"/>
  <c r="K953" i="1"/>
  <c r="R953" i="1"/>
  <c r="T953" i="1"/>
  <c r="V953" i="1"/>
  <c r="J954" i="1"/>
  <c r="K954" i="1"/>
  <c r="X954" i="1"/>
  <c r="J955" i="1"/>
  <c r="K955" i="1" s="1"/>
  <c r="Q955" i="1"/>
  <c r="X955" i="1" s="1"/>
  <c r="J956" i="1"/>
  <c r="K956" i="1" s="1"/>
  <c r="Q956" i="1"/>
  <c r="X956" i="1" s="1"/>
  <c r="J957" i="1"/>
  <c r="P957" i="1"/>
  <c r="R957" i="1"/>
  <c r="T957" i="1"/>
  <c r="V957" i="1"/>
  <c r="J958" i="1"/>
  <c r="K958" i="1"/>
  <c r="O958" i="1"/>
  <c r="X958" i="1"/>
  <c r="K959" i="1"/>
  <c r="K960" i="1"/>
  <c r="X960" i="1"/>
  <c r="J961" i="1"/>
  <c r="K961" i="1"/>
  <c r="M961" i="1"/>
  <c r="N961" i="1"/>
  <c r="O961" i="1"/>
  <c r="P961" i="1"/>
  <c r="X961" i="1"/>
  <c r="J962" i="1"/>
  <c r="K962" i="1"/>
  <c r="M962" i="1"/>
  <c r="N962" i="1"/>
  <c r="N959" i="1" s="1"/>
  <c r="O962" i="1"/>
  <c r="P962" i="1"/>
  <c r="X962" i="1"/>
  <c r="J963" i="1"/>
  <c r="K963" i="1"/>
  <c r="M963" i="1"/>
  <c r="N963" i="1"/>
  <c r="O963" i="1"/>
  <c r="P963" i="1"/>
  <c r="X963" i="1"/>
  <c r="J964" i="1"/>
  <c r="K964" i="1"/>
  <c r="M964" i="1"/>
  <c r="N964" i="1"/>
  <c r="O964" i="1"/>
  <c r="P964" i="1"/>
  <c r="X964" i="1"/>
  <c r="K965" i="1"/>
  <c r="X965" i="1"/>
  <c r="J966" i="1"/>
  <c r="K966" i="1"/>
  <c r="Q966" i="1"/>
  <c r="R966" i="1"/>
  <c r="S966" i="1"/>
  <c r="T966" i="1"/>
  <c r="U966" i="1"/>
  <c r="V966" i="1"/>
  <c r="W966" i="1"/>
  <c r="X966" i="1"/>
  <c r="J967" i="1"/>
  <c r="Q967" i="1"/>
  <c r="S967" i="1"/>
  <c r="U967" i="1"/>
  <c r="W967" i="1"/>
  <c r="J968" i="1"/>
  <c r="K968" i="1" s="1"/>
  <c r="Q968" i="1"/>
  <c r="S968" i="1"/>
  <c r="U968" i="1"/>
  <c r="W968" i="1"/>
  <c r="J969" i="1"/>
  <c r="P969" i="1"/>
  <c r="P959" i="1" s="1"/>
  <c r="R969" i="1"/>
  <c r="T969" i="1"/>
  <c r="V969" i="1"/>
  <c r="J970" i="1"/>
  <c r="K970" i="1"/>
  <c r="P970" i="1"/>
  <c r="Q970" i="1"/>
  <c r="R970" i="1"/>
  <c r="S970" i="1"/>
  <c r="T970" i="1"/>
  <c r="U970" i="1"/>
  <c r="V970" i="1"/>
  <c r="W970" i="1"/>
  <c r="J971" i="1"/>
  <c r="P971" i="1"/>
  <c r="R971" i="1"/>
  <c r="T971" i="1"/>
  <c r="V971" i="1"/>
  <c r="K972" i="1"/>
  <c r="L972" i="1"/>
  <c r="M972" i="1"/>
  <c r="N972" i="1"/>
  <c r="O972" i="1"/>
  <c r="P972" i="1"/>
  <c r="Q972" i="1"/>
  <c r="R972" i="1"/>
  <c r="S972" i="1"/>
  <c r="T972" i="1"/>
  <c r="U972" i="1"/>
  <c r="V972" i="1"/>
  <c r="W972" i="1"/>
  <c r="X972" i="1"/>
  <c r="K973" i="1"/>
  <c r="X973" i="1"/>
  <c r="K974" i="1"/>
  <c r="X974" i="1"/>
  <c r="K975" i="1"/>
  <c r="X975" i="1"/>
  <c r="K976" i="1"/>
  <c r="X976" i="1"/>
  <c r="K977" i="1"/>
  <c r="X977" i="1"/>
  <c r="K978" i="1"/>
  <c r="X978" i="1"/>
  <c r="K979" i="1"/>
  <c r="X979" i="1"/>
  <c r="K980" i="1"/>
  <c r="L980" i="1"/>
  <c r="M980" i="1"/>
  <c r="N980" i="1"/>
  <c r="O980" i="1"/>
  <c r="P980" i="1"/>
  <c r="Q980" i="1"/>
  <c r="R980" i="1"/>
  <c r="S980" i="1"/>
  <c r="T980" i="1"/>
  <c r="U980" i="1"/>
  <c r="V980" i="1"/>
  <c r="W980" i="1"/>
  <c r="X980" i="1"/>
  <c r="K981" i="1"/>
  <c r="X981" i="1"/>
  <c r="K982" i="1"/>
  <c r="K983" i="1"/>
  <c r="L983" i="1"/>
  <c r="L982" i="1" s="1"/>
  <c r="M983" i="1"/>
  <c r="M982" i="1" s="1"/>
  <c r="N983" i="1"/>
  <c r="N982" i="1" s="1"/>
  <c r="O983" i="1"/>
  <c r="O982" i="1" s="1"/>
  <c r="P983" i="1"/>
  <c r="P982" i="1" s="1"/>
  <c r="Q983" i="1"/>
  <c r="Q982" i="1" s="1"/>
  <c r="R983" i="1"/>
  <c r="R982" i="1" s="1"/>
  <c r="S983" i="1"/>
  <c r="S982" i="1" s="1"/>
  <c r="T983" i="1"/>
  <c r="T982" i="1" s="1"/>
  <c r="U983" i="1"/>
  <c r="U982" i="1" s="1"/>
  <c r="V983" i="1"/>
  <c r="V982" i="1" s="1"/>
  <c r="W983" i="1"/>
  <c r="W982" i="1" s="1"/>
  <c r="X983" i="1"/>
  <c r="X982" i="1" s="1"/>
  <c r="K984" i="1"/>
  <c r="X984" i="1"/>
  <c r="K985" i="1"/>
  <c r="X985" i="1"/>
  <c r="K986" i="1"/>
  <c r="X986" i="1"/>
  <c r="K987" i="1"/>
  <c r="L987" i="1"/>
  <c r="M987" i="1"/>
  <c r="N987" i="1"/>
  <c r="O987" i="1"/>
  <c r="P987" i="1"/>
  <c r="Q987" i="1"/>
  <c r="R987" i="1"/>
  <c r="S987" i="1"/>
  <c r="T987" i="1"/>
  <c r="U987" i="1"/>
  <c r="V987" i="1"/>
  <c r="W987" i="1"/>
  <c r="K988" i="1"/>
  <c r="X988" i="1"/>
  <c r="X987" i="1" s="1"/>
  <c r="K989" i="1"/>
  <c r="X989" i="1"/>
  <c r="K990" i="1"/>
  <c r="X990" i="1"/>
  <c r="K991" i="1"/>
  <c r="X991" i="1"/>
  <c r="K992" i="1"/>
  <c r="X992" i="1"/>
  <c r="K993" i="1"/>
  <c r="K994" i="1"/>
  <c r="X994" i="1"/>
  <c r="X993" i="1" s="1"/>
  <c r="K995" i="1"/>
  <c r="L995" i="1"/>
  <c r="L993" i="1" s="1"/>
  <c r="M995" i="1"/>
  <c r="M993" i="1" s="1"/>
  <c r="N995" i="1"/>
  <c r="N993" i="1" s="1"/>
  <c r="O995" i="1"/>
  <c r="O993" i="1" s="1"/>
  <c r="P995" i="1"/>
  <c r="P993" i="1" s="1"/>
  <c r="Q995" i="1"/>
  <c r="Q993" i="1" s="1"/>
  <c r="R995" i="1"/>
  <c r="R993" i="1" s="1"/>
  <c r="S995" i="1"/>
  <c r="S993" i="1" s="1"/>
  <c r="T995" i="1"/>
  <c r="T993" i="1" s="1"/>
  <c r="U995" i="1"/>
  <c r="U993" i="1" s="1"/>
  <c r="V995" i="1"/>
  <c r="V993" i="1" s="1"/>
  <c r="W995" i="1"/>
  <c r="W993" i="1" s="1"/>
  <c r="X995" i="1"/>
  <c r="K996" i="1"/>
  <c r="X996" i="1"/>
  <c r="K997" i="1"/>
  <c r="X997" i="1"/>
  <c r="K998" i="1"/>
  <c r="L998" i="1"/>
  <c r="M998" i="1"/>
  <c r="N998" i="1"/>
  <c r="O998" i="1"/>
  <c r="P998" i="1"/>
  <c r="Q998" i="1"/>
  <c r="R998" i="1"/>
  <c r="S998" i="1"/>
  <c r="T998" i="1"/>
  <c r="U998" i="1"/>
  <c r="V998" i="1"/>
  <c r="W998" i="1"/>
  <c r="K999" i="1"/>
  <c r="X999" i="1"/>
  <c r="X998" i="1" s="1"/>
  <c r="K1000" i="1"/>
  <c r="K1001" i="1"/>
  <c r="K1002" i="1"/>
  <c r="X1002" i="1"/>
  <c r="K1003" i="1"/>
  <c r="L1003" i="1"/>
  <c r="M1003" i="1"/>
  <c r="N1003" i="1"/>
  <c r="O1003" i="1"/>
  <c r="P1003" i="1"/>
  <c r="Q1003" i="1"/>
  <c r="R1003" i="1"/>
  <c r="S1003" i="1"/>
  <c r="T1003" i="1"/>
  <c r="U1003" i="1"/>
  <c r="V1003" i="1"/>
  <c r="W1003" i="1"/>
  <c r="K1004" i="1"/>
  <c r="X1004" i="1"/>
  <c r="X1003" i="1" s="1"/>
  <c r="K1005" i="1"/>
  <c r="X1005" i="1"/>
  <c r="K1006" i="1"/>
  <c r="X1006" i="1"/>
  <c r="K1007" i="1"/>
  <c r="X1007" i="1"/>
  <c r="K1008" i="1"/>
  <c r="K1009" i="1"/>
  <c r="L1009" i="1"/>
  <c r="M1009" i="1"/>
  <c r="N1009" i="1"/>
  <c r="O1009" i="1"/>
  <c r="P1009" i="1"/>
  <c r="Q1009" i="1"/>
  <c r="R1009" i="1"/>
  <c r="S1009" i="1"/>
  <c r="T1009" i="1"/>
  <c r="U1009" i="1"/>
  <c r="V1009" i="1"/>
  <c r="W1009" i="1"/>
  <c r="K1010" i="1"/>
  <c r="X1010" i="1"/>
  <c r="X1009" i="1" s="1"/>
  <c r="K1011" i="1"/>
  <c r="X1011" i="1"/>
  <c r="K1012" i="1"/>
  <c r="X1012" i="1"/>
  <c r="K1013" i="1"/>
  <c r="K1014" i="1"/>
  <c r="L1014" i="1"/>
  <c r="L1013" i="1" s="1"/>
  <c r="M1014" i="1"/>
  <c r="M1013" i="1" s="1"/>
  <c r="N1014" i="1"/>
  <c r="N1013" i="1" s="1"/>
  <c r="O1014" i="1"/>
  <c r="O1013" i="1" s="1"/>
  <c r="P1014" i="1"/>
  <c r="P1013" i="1" s="1"/>
  <c r="Q1014" i="1"/>
  <c r="Q1013" i="1" s="1"/>
  <c r="R1014" i="1"/>
  <c r="R1013" i="1" s="1"/>
  <c r="S1014" i="1"/>
  <c r="S1013" i="1" s="1"/>
  <c r="T1014" i="1"/>
  <c r="T1013" i="1" s="1"/>
  <c r="U1014" i="1"/>
  <c r="U1013" i="1" s="1"/>
  <c r="V1014" i="1"/>
  <c r="V1013" i="1" s="1"/>
  <c r="W1014" i="1"/>
  <c r="W1013" i="1" s="1"/>
  <c r="X1014" i="1"/>
  <c r="X1013" i="1" s="1"/>
  <c r="K1015" i="1"/>
  <c r="X1015" i="1"/>
  <c r="K1016" i="1"/>
  <c r="X1016" i="1"/>
  <c r="K1017" i="1"/>
  <c r="X1017" i="1"/>
  <c r="K1018" i="1"/>
  <c r="X1018" i="1"/>
  <c r="K1019" i="1"/>
  <c r="X1019" i="1"/>
  <c r="K1020" i="1"/>
  <c r="X1020" i="1"/>
  <c r="K1021" i="1"/>
  <c r="X1021" i="1"/>
  <c r="K1022" i="1"/>
  <c r="L1022" i="1"/>
  <c r="M1022" i="1"/>
  <c r="N1022" i="1"/>
  <c r="O1022" i="1"/>
  <c r="P1022" i="1"/>
  <c r="Q1022" i="1"/>
  <c r="R1022" i="1"/>
  <c r="S1022" i="1"/>
  <c r="T1022" i="1"/>
  <c r="U1022" i="1"/>
  <c r="V1022" i="1"/>
  <c r="W1022" i="1"/>
  <c r="X1022" i="1"/>
  <c r="K1023" i="1"/>
  <c r="X1023" i="1"/>
  <c r="K1024" i="1"/>
  <c r="K1025" i="1"/>
  <c r="L1025" i="1"/>
  <c r="L1024" i="1" s="1"/>
  <c r="M1025" i="1"/>
  <c r="N1025" i="1"/>
  <c r="O1025" i="1"/>
  <c r="P1025" i="1"/>
  <c r="P1024" i="1" s="1"/>
  <c r="Q1025" i="1"/>
  <c r="R1025" i="1"/>
  <c r="S1025" i="1"/>
  <c r="T1025" i="1"/>
  <c r="T1024" i="1" s="1"/>
  <c r="U1025" i="1"/>
  <c r="V1025" i="1"/>
  <c r="W1025" i="1"/>
  <c r="X1025" i="1"/>
  <c r="K1026" i="1"/>
  <c r="X1026" i="1"/>
  <c r="K1027" i="1"/>
  <c r="X1027" i="1"/>
  <c r="K1028" i="1"/>
  <c r="X1028" i="1"/>
  <c r="K1029" i="1"/>
  <c r="K1031" i="1"/>
  <c r="M1031" i="1"/>
  <c r="O1031" i="1"/>
  <c r="Q1031" i="1"/>
  <c r="S1031" i="1"/>
  <c r="U1031" i="1"/>
  <c r="J1032" i="1"/>
  <c r="L1032" i="1"/>
  <c r="L1029" i="1" s="1"/>
  <c r="N1032" i="1"/>
  <c r="N1029" i="1" s="1"/>
  <c r="P1032" i="1"/>
  <c r="P1029" i="1" s="1"/>
  <c r="R1032" i="1"/>
  <c r="R1029" i="1" s="1"/>
  <c r="T1032" i="1"/>
  <c r="T1029" i="1" s="1"/>
  <c r="V1032" i="1"/>
  <c r="V1029" i="1" s="1"/>
  <c r="J1033" i="1"/>
  <c r="K1033" i="1"/>
  <c r="L1033" i="1"/>
  <c r="M1033" i="1"/>
  <c r="N1033" i="1"/>
  <c r="O1033" i="1"/>
  <c r="P1033" i="1"/>
  <c r="Q1033" i="1"/>
  <c r="R1033" i="1"/>
  <c r="S1033" i="1"/>
  <c r="T1033" i="1"/>
  <c r="U1033" i="1"/>
  <c r="V1033" i="1"/>
  <c r="W1033" i="1"/>
  <c r="J1034" i="1"/>
  <c r="L1034" i="1"/>
  <c r="N1034" i="1"/>
  <c r="P1034" i="1"/>
  <c r="R1034" i="1"/>
  <c r="T1034" i="1"/>
  <c r="V1034" i="1"/>
  <c r="K1035" i="1"/>
  <c r="L1035" i="1"/>
  <c r="M1035" i="1" s="1"/>
  <c r="N1035" i="1" s="1"/>
  <c r="J1036" i="1"/>
  <c r="K1036" i="1"/>
  <c r="L1036" i="1" s="1"/>
  <c r="J1037" i="1"/>
  <c r="K1037" i="1" s="1"/>
  <c r="L1037" i="1"/>
  <c r="M1037" i="1" s="1"/>
  <c r="N1037" i="1" s="1"/>
  <c r="J1038" i="1"/>
  <c r="K1038" i="1"/>
  <c r="L1038" i="1" s="1"/>
  <c r="J1039" i="1"/>
  <c r="K1039" i="1" s="1"/>
  <c r="L1039" i="1"/>
  <c r="M1039" i="1" s="1"/>
  <c r="N1039" i="1" s="1"/>
  <c r="J1040" i="1"/>
  <c r="K1040" i="1"/>
  <c r="L1040" i="1" s="1"/>
  <c r="J1041" i="1"/>
  <c r="K1041" i="1" s="1"/>
  <c r="L1041" i="1"/>
  <c r="M1041" i="1" s="1"/>
  <c r="N1041" i="1" s="1"/>
  <c r="J1042" i="1"/>
  <c r="K1042" i="1"/>
  <c r="L1042" i="1" s="1"/>
  <c r="J1043" i="1"/>
  <c r="K1043" i="1" s="1"/>
  <c r="L1043" i="1"/>
  <c r="M1043" i="1" s="1"/>
  <c r="N1043" i="1" s="1"/>
  <c r="J1044" i="1"/>
  <c r="K1044" i="1"/>
  <c r="L1044" i="1" s="1"/>
  <c r="J1045" i="1"/>
  <c r="K1045" i="1" s="1"/>
  <c r="L1045" i="1"/>
  <c r="M1045" i="1" s="1"/>
  <c r="N1045" i="1" s="1"/>
  <c r="J1046" i="1"/>
  <c r="K1046" i="1"/>
  <c r="L1046" i="1" s="1"/>
  <c r="J1047" i="1"/>
  <c r="K1047" i="1" s="1"/>
  <c r="L1047" i="1"/>
  <c r="M1047" i="1" s="1"/>
  <c r="N1047" i="1" s="1"/>
  <c r="J1048" i="1"/>
  <c r="K1048" i="1"/>
  <c r="L1048" i="1" s="1"/>
  <c r="J1049" i="1"/>
  <c r="K1049" i="1" s="1"/>
  <c r="L1049" i="1"/>
  <c r="M1049" i="1" s="1"/>
  <c r="N1049" i="1" s="1"/>
  <c r="J1050" i="1"/>
  <c r="K1050" i="1"/>
  <c r="L1050" i="1" s="1"/>
  <c r="J1051" i="1"/>
  <c r="K1051" i="1" s="1"/>
  <c r="L1051" i="1"/>
  <c r="M1051" i="1" s="1"/>
  <c r="N1051" i="1" s="1"/>
  <c r="J1052" i="1"/>
  <c r="K1052" i="1"/>
  <c r="L1052" i="1" s="1"/>
  <c r="J1053" i="1"/>
  <c r="K1053" i="1" s="1"/>
  <c r="L1053" i="1"/>
  <c r="M1053" i="1" s="1"/>
  <c r="N1053" i="1" s="1"/>
  <c r="J1054" i="1"/>
  <c r="K1054" i="1"/>
  <c r="L1054" i="1" s="1"/>
  <c r="K1055" i="1"/>
  <c r="L1055" i="1" s="1"/>
  <c r="M1055" i="1"/>
  <c r="N1055" i="1" s="1"/>
  <c r="O1055" i="1" s="1"/>
  <c r="P1055" i="1" s="1"/>
  <c r="Q1055" i="1" s="1"/>
  <c r="R1055" i="1" s="1"/>
  <c r="S1055" i="1" s="1"/>
  <c r="T1055" i="1" s="1"/>
  <c r="U1055" i="1" s="1"/>
  <c r="V1055" i="1" s="1"/>
  <c r="W1055" i="1" s="1"/>
  <c r="K1056" i="1"/>
  <c r="L1056" i="1" s="1"/>
  <c r="K1057" i="1"/>
  <c r="X1057" i="1"/>
  <c r="K1058" i="1"/>
  <c r="X1058" i="1"/>
  <c r="J1059" i="1"/>
  <c r="K1059" i="1" s="1"/>
  <c r="M1059" i="1"/>
  <c r="X1059" i="1" s="1"/>
  <c r="J1060" i="1"/>
  <c r="K1060" i="1" s="1"/>
  <c r="M1060" i="1"/>
  <c r="X1060" i="1" s="1"/>
  <c r="J1061" i="1"/>
  <c r="K1061" i="1" s="1"/>
  <c r="Q1061" i="1"/>
  <c r="X1061" i="1" s="1"/>
  <c r="J1062" i="1"/>
  <c r="K1062" i="1"/>
  <c r="Q1062" i="1"/>
  <c r="X1062" i="1" s="1"/>
  <c r="L1063" i="1"/>
  <c r="M1063" i="1"/>
  <c r="N1063" i="1"/>
  <c r="O1063" i="1"/>
  <c r="P1063" i="1"/>
  <c r="Q1063" i="1"/>
  <c r="R1063" i="1"/>
  <c r="S1063" i="1"/>
  <c r="T1063" i="1"/>
  <c r="U1063" i="1"/>
  <c r="V1063" i="1"/>
  <c r="W1063" i="1"/>
  <c r="X1063" i="1"/>
  <c r="V1024" i="1" l="1"/>
  <c r="R1024" i="1"/>
  <c r="N1024" i="1"/>
  <c r="O1053" i="1"/>
  <c r="P1053" i="1" s="1"/>
  <c r="Q1053" i="1" s="1"/>
  <c r="R1053" i="1" s="1"/>
  <c r="S1053" i="1" s="1"/>
  <c r="T1053" i="1" s="1"/>
  <c r="U1053" i="1" s="1"/>
  <c r="V1053" i="1" s="1"/>
  <c r="W1053" i="1" s="1"/>
  <c r="X1053" i="1"/>
  <c r="O1051" i="1"/>
  <c r="P1051" i="1" s="1"/>
  <c r="Q1051" i="1" s="1"/>
  <c r="R1051" i="1" s="1"/>
  <c r="S1051" i="1" s="1"/>
  <c r="T1051" i="1" s="1"/>
  <c r="U1051" i="1" s="1"/>
  <c r="V1051" i="1" s="1"/>
  <c r="W1051" i="1" s="1"/>
  <c r="X1051" i="1"/>
  <c r="O1049" i="1"/>
  <c r="P1049" i="1" s="1"/>
  <c r="Q1049" i="1" s="1"/>
  <c r="R1049" i="1" s="1"/>
  <c r="S1049" i="1" s="1"/>
  <c r="T1049" i="1" s="1"/>
  <c r="U1049" i="1" s="1"/>
  <c r="V1049" i="1" s="1"/>
  <c r="W1049" i="1" s="1"/>
  <c r="X1049" i="1"/>
  <c r="O1047" i="1"/>
  <c r="P1047" i="1" s="1"/>
  <c r="Q1047" i="1" s="1"/>
  <c r="R1047" i="1" s="1"/>
  <c r="S1047" i="1" s="1"/>
  <c r="T1047" i="1" s="1"/>
  <c r="U1047" i="1" s="1"/>
  <c r="V1047" i="1" s="1"/>
  <c r="W1047" i="1" s="1"/>
  <c r="X1047" i="1"/>
  <c r="O1045" i="1"/>
  <c r="P1045" i="1" s="1"/>
  <c r="Q1045" i="1" s="1"/>
  <c r="R1045" i="1" s="1"/>
  <c r="S1045" i="1" s="1"/>
  <c r="T1045" i="1" s="1"/>
  <c r="U1045" i="1" s="1"/>
  <c r="V1045" i="1" s="1"/>
  <c r="W1045" i="1" s="1"/>
  <c r="X1045" i="1"/>
  <c r="O1043" i="1"/>
  <c r="P1043" i="1" s="1"/>
  <c r="Q1043" i="1" s="1"/>
  <c r="R1043" i="1" s="1"/>
  <c r="S1043" i="1" s="1"/>
  <c r="T1043" i="1" s="1"/>
  <c r="U1043" i="1" s="1"/>
  <c r="V1043" i="1" s="1"/>
  <c r="W1043" i="1" s="1"/>
  <c r="X1043" i="1"/>
  <c r="O1041" i="1"/>
  <c r="P1041" i="1" s="1"/>
  <c r="Q1041" i="1" s="1"/>
  <c r="R1041" i="1" s="1"/>
  <c r="S1041" i="1" s="1"/>
  <c r="T1041" i="1" s="1"/>
  <c r="U1041" i="1" s="1"/>
  <c r="V1041" i="1" s="1"/>
  <c r="W1041" i="1" s="1"/>
  <c r="X1041" i="1"/>
  <c r="O1039" i="1"/>
  <c r="P1039" i="1" s="1"/>
  <c r="Q1039" i="1" s="1"/>
  <c r="R1039" i="1" s="1"/>
  <c r="S1039" i="1" s="1"/>
  <c r="T1039" i="1" s="1"/>
  <c r="U1039" i="1" s="1"/>
  <c r="V1039" i="1" s="1"/>
  <c r="W1039" i="1" s="1"/>
  <c r="X1039" i="1"/>
  <c r="O1037" i="1"/>
  <c r="P1037" i="1" s="1"/>
  <c r="Q1037" i="1" s="1"/>
  <c r="R1037" i="1" s="1"/>
  <c r="S1037" i="1" s="1"/>
  <c r="T1037" i="1" s="1"/>
  <c r="U1037" i="1" s="1"/>
  <c r="V1037" i="1" s="1"/>
  <c r="W1037" i="1" s="1"/>
  <c r="X1037" i="1"/>
  <c r="O1035" i="1"/>
  <c r="P1035" i="1" s="1"/>
  <c r="Q1035" i="1" s="1"/>
  <c r="R1035" i="1" s="1"/>
  <c r="S1035" i="1" s="1"/>
  <c r="T1035" i="1" s="1"/>
  <c r="U1035" i="1" s="1"/>
  <c r="V1035" i="1" s="1"/>
  <c r="W1035" i="1" s="1"/>
  <c r="X1035" i="1"/>
  <c r="V1008" i="1"/>
  <c r="T1008" i="1"/>
  <c r="R1008" i="1"/>
  <c r="P1008" i="1"/>
  <c r="N1008" i="1"/>
  <c r="L1008" i="1"/>
  <c r="V1001" i="1"/>
  <c r="V1000" i="1" s="1"/>
  <c r="T1001" i="1"/>
  <c r="T1000" i="1" s="1"/>
  <c r="R1001" i="1"/>
  <c r="R1000" i="1" s="1"/>
  <c r="P1001" i="1"/>
  <c r="P1000" i="1" s="1"/>
  <c r="N1001" i="1"/>
  <c r="N1000" i="1" s="1"/>
  <c r="L1001" i="1"/>
  <c r="X1056" i="1"/>
  <c r="X1033" i="1"/>
  <c r="U1029" i="1"/>
  <c r="M1029" i="1"/>
  <c r="X1031" i="1"/>
  <c r="X970" i="1"/>
  <c r="Y961" i="1"/>
  <c r="O959" i="1"/>
  <c r="M959" i="1"/>
  <c r="X949" i="1"/>
  <c r="X943" i="1"/>
  <c r="X940" i="1"/>
  <c r="L935" i="1"/>
  <c r="K923" i="1"/>
  <c r="R923" i="1"/>
  <c r="T923" i="1"/>
  <c r="V923" i="1"/>
  <c r="Q923" i="1"/>
  <c r="U923" i="1"/>
  <c r="K921" i="1"/>
  <c r="R921" i="1"/>
  <c r="X921" i="1" s="1"/>
  <c r="N910" i="1"/>
  <c r="X914" i="1"/>
  <c r="X910" i="1" s="1"/>
  <c r="X886" i="1"/>
  <c r="N881" i="1"/>
  <c r="X882" i="1"/>
  <c r="W875" i="1"/>
  <c r="R875" i="1"/>
  <c r="L873" i="1"/>
  <c r="X874" i="1"/>
  <c r="M1056" i="1"/>
  <c r="N1056" i="1" s="1"/>
  <c r="O1056" i="1" s="1"/>
  <c r="P1056" i="1" s="1"/>
  <c r="Q1056" i="1" s="1"/>
  <c r="R1056" i="1" s="1"/>
  <c r="S1056" i="1" s="1"/>
  <c r="T1056" i="1" s="1"/>
  <c r="U1056" i="1" s="1"/>
  <c r="V1056" i="1" s="1"/>
  <c r="W1056" i="1" s="1"/>
  <c r="X1055" i="1"/>
  <c r="M1054" i="1"/>
  <c r="N1054" i="1" s="1"/>
  <c r="O1054" i="1" s="1"/>
  <c r="P1054" i="1" s="1"/>
  <c r="Q1054" i="1" s="1"/>
  <c r="R1054" i="1" s="1"/>
  <c r="S1054" i="1" s="1"/>
  <c r="T1054" i="1" s="1"/>
  <c r="U1054" i="1" s="1"/>
  <c r="V1054" i="1" s="1"/>
  <c r="W1054" i="1" s="1"/>
  <c r="M1052" i="1"/>
  <c r="N1052" i="1" s="1"/>
  <c r="O1052" i="1" s="1"/>
  <c r="P1052" i="1" s="1"/>
  <c r="Q1052" i="1" s="1"/>
  <c r="R1052" i="1" s="1"/>
  <c r="S1052" i="1" s="1"/>
  <c r="T1052" i="1" s="1"/>
  <c r="U1052" i="1" s="1"/>
  <c r="V1052" i="1" s="1"/>
  <c r="W1052" i="1" s="1"/>
  <c r="M1050" i="1"/>
  <c r="N1050" i="1" s="1"/>
  <c r="O1050" i="1" s="1"/>
  <c r="P1050" i="1" s="1"/>
  <c r="Q1050" i="1" s="1"/>
  <c r="R1050" i="1" s="1"/>
  <c r="S1050" i="1" s="1"/>
  <c r="T1050" i="1" s="1"/>
  <c r="U1050" i="1" s="1"/>
  <c r="V1050" i="1" s="1"/>
  <c r="W1050" i="1" s="1"/>
  <c r="M1048" i="1"/>
  <c r="N1048" i="1" s="1"/>
  <c r="O1048" i="1" s="1"/>
  <c r="P1048" i="1" s="1"/>
  <c r="Q1048" i="1" s="1"/>
  <c r="R1048" i="1" s="1"/>
  <c r="S1048" i="1" s="1"/>
  <c r="T1048" i="1" s="1"/>
  <c r="U1048" i="1" s="1"/>
  <c r="V1048" i="1" s="1"/>
  <c r="W1048" i="1" s="1"/>
  <c r="M1046" i="1"/>
  <c r="N1046" i="1" s="1"/>
  <c r="O1046" i="1" s="1"/>
  <c r="P1046" i="1" s="1"/>
  <c r="Q1046" i="1" s="1"/>
  <c r="R1046" i="1" s="1"/>
  <c r="S1046" i="1" s="1"/>
  <c r="T1046" i="1" s="1"/>
  <c r="U1046" i="1" s="1"/>
  <c r="V1046" i="1" s="1"/>
  <c r="W1046" i="1" s="1"/>
  <c r="M1044" i="1"/>
  <c r="N1044" i="1" s="1"/>
  <c r="O1044" i="1" s="1"/>
  <c r="P1044" i="1" s="1"/>
  <c r="Q1044" i="1" s="1"/>
  <c r="R1044" i="1" s="1"/>
  <c r="S1044" i="1" s="1"/>
  <c r="T1044" i="1" s="1"/>
  <c r="U1044" i="1" s="1"/>
  <c r="V1044" i="1" s="1"/>
  <c r="W1044" i="1" s="1"/>
  <c r="M1042" i="1"/>
  <c r="N1042" i="1" s="1"/>
  <c r="O1042" i="1" s="1"/>
  <c r="P1042" i="1" s="1"/>
  <c r="Q1042" i="1" s="1"/>
  <c r="R1042" i="1" s="1"/>
  <c r="S1042" i="1" s="1"/>
  <c r="T1042" i="1" s="1"/>
  <c r="U1042" i="1" s="1"/>
  <c r="V1042" i="1" s="1"/>
  <c r="W1042" i="1" s="1"/>
  <c r="M1040" i="1"/>
  <c r="N1040" i="1" s="1"/>
  <c r="O1040" i="1" s="1"/>
  <c r="P1040" i="1" s="1"/>
  <c r="Q1040" i="1" s="1"/>
  <c r="R1040" i="1" s="1"/>
  <c r="S1040" i="1" s="1"/>
  <c r="T1040" i="1" s="1"/>
  <c r="U1040" i="1" s="1"/>
  <c r="V1040" i="1" s="1"/>
  <c r="W1040" i="1" s="1"/>
  <c r="M1038" i="1"/>
  <c r="N1038" i="1" s="1"/>
  <c r="O1038" i="1" s="1"/>
  <c r="P1038" i="1" s="1"/>
  <c r="Q1038" i="1" s="1"/>
  <c r="R1038" i="1" s="1"/>
  <c r="S1038" i="1" s="1"/>
  <c r="T1038" i="1" s="1"/>
  <c r="U1038" i="1" s="1"/>
  <c r="V1038" i="1" s="1"/>
  <c r="W1038" i="1" s="1"/>
  <c r="M1036" i="1"/>
  <c r="N1036" i="1" s="1"/>
  <c r="O1036" i="1" s="1"/>
  <c r="P1036" i="1" s="1"/>
  <c r="Q1036" i="1" s="1"/>
  <c r="R1036" i="1" s="1"/>
  <c r="S1036" i="1" s="1"/>
  <c r="T1036" i="1" s="1"/>
  <c r="U1036" i="1" s="1"/>
  <c r="V1036" i="1" s="1"/>
  <c r="W1036" i="1" s="1"/>
  <c r="K1034" i="1"/>
  <c r="M1034" i="1"/>
  <c r="O1034" i="1"/>
  <c r="Q1034" i="1"/>
  <c r="S1034" i="1"/>
  <c r="U1034" i="1"/>
  <c r="W1034" i="1"/>
  <c r="K1032" i="1"/>
  <c r="M1032" i="1"/>
  <c r="O1032" i="1"/>
  <c r="Q1032" i="1"/>
  <c r="Q1029" i="1" s="1"/>
  <c r="Q1024" i="1" s="1"/>
  <c r="S1032" i="1"/>
  <c r="S1029" i="1" s="1"/>
  <c r="S1024" i="1" s="1"/>
  <c r="U1032" i="1"/>
  <c r="W1032" i="1"/>
  <c r="W1029" i="1" s="1"/>
  <c r="W1024" i="1" s="1"/>
  <c r="O1029" i="1"/>
  <c r="O1024" i="1" s="1"/>
  <c r="U1024" i="1"/>
  <c r="M1024" i="1"/>
  <c r="W1008" i="1"/>
  <c r="U1008" i="1"/>
  <c r="S1008" i="1"/>
  <c r="Q1008" i="1"/>
  <c r="O1008" i="1"/>
  <c r="M1008" i="1"/>
  <c r="W1001" i="1"/>
  <c r="W1000" i="1" s="1"/>
  <c r="U1001" i="1"/>
  <c r="U1000" i="1" s="1"/>
  <c r="S1001" i="1"/>
  <c r="S1000" i="1" s="1"/>
  <c r="Q1001" i="1"/>
  <c r="Q1000" i="1" s="1"/>
  <c r="O1001" i="1"/>
  <c r="O1000" i="1" s="1"/>
  <c r="M1001" i="1"/>
  <c r="M1000" i="1" s="1"/>
  <c r="K971" i="1"/>
  <c r="Q971" i="1"/>
  <c r="S971" i="1"/>
  <c r="U971" i="1"/>
  <c r="U959" i="1" s="1"/>
  <c r="W971" i="1"/>
  <c r="K969" i="1"/>
  <c r="Q969" i="1"/>
  <c r="S969" i="1"/>
  <c r="U969" i="1"/>
  <c r="W969" i="1"/>
  <c r="K967" i="1"/>
  <c r="R967" i="1"/>
  <c r="X967" i="1" s="1"/>
  <c r="T967" i="1"/>
  <c r="T959" i="1" s="1"/>
  <c r="V967" i="1"/>
  <c r="V959" i="1" s="1"/>
  <c r="R968" i="1"/>
  <c r="X968" i="1" s="1"/>
  <c r="T968" i="1"/>
  <c r="V968" i="1"/>
  <c r="N935" i="1"/>
  <c r="X937" i="1"/>
  <c r="S923" i="1"/>
  <c r="J922" i="1"/>
  <c r="K920" i="1"/>
  <c r="R920" i="1"/>
  <c r="X920" i="1" s="1"/>
  <c r="T889" i="1"/>
  <c r="U904" i="1"/>
  <c r="J883" i="1"/>
  <c r="N883" i="1"/>
  <c r="X883" i="1" s="1"/>
  <c r="M876" i="1"/>
  <c r="X831" i="1"/>
  <c r="P774" i="1"/>
  <c r="P773" i="1" s="1"/>
  <c r="X792" i="1"/>
  <c r="K788" i="1"/>
  <c r="J800" i="1"/>
  <c r="K784" i="1"/>
  <c r="J796" i="1"/>
  <c r="K783" i="1"/>
  <c r="J795" i="1"/>
  <c r="W959" i="1"/>
  <c r="S959" i="1"/>
  <c r="K957" i="1"/>
  <c r="Q957" i="1"/>
  <c r="S957" i="1"/>
  <c r="U957" i="1"/>
  <c r="W957" i="1"/>
  <c r="S935" i="1"/>
  <c r="K945" i="1"/>
  <c r="R945" i="1"/>
  <c r="R935" i="1" s="1"/>
  <c r="T945" i="1"/>
  <c r="T935" i="1" s="1"/>
  <c r="V945" i="1"/>
  <c r="V935" i="1" s="1"/>
  <c r="W949" i="1"/>
  <c r="W935" i="1" s="1"/>
  <c r="Q951" i="1"/>
  <c r="S951" i="1"/>
  <c r="U951" i="1"/>
  <c r="U935" i="1" s="1"/>
  <c r="W951" i="1"/>
  <c r="Q953" i="1"/>
  <c r="S953" i="1"/>
  <c r="U953" i="1"/>
  <c r="W953" i="1"/>
  <c r="X942" i="1"/>
  <c r="X938" i="1"/>
  <c r="O935" i="1"/>
  <c r="M935" i="1"/>
  <c r="Q889" i="1"/>
  <c r="O881" i="1"/>
  <c r="X884" i="1"/>
  <c r="X866" i="1"/>
  <c r="L858" i="1"/>
  <c r="M859" i="1"/>
  <c r="N853" i="1"/>
  <c r="M850" i="1"/>
  <c r="U826" i="1"/>
  <c r="Q826" i="1"/>
  <c r="M826" i="1"/>
  <c r="U774" i="1"/>
  <c r="U773" i="1" s="1"/>
  <c r="X805" i="1"/>
  <c r="L850" i="1"/>
  <c r="L849" i="1" s="1"/>
  <c r="X826" i="1"/>
  <c r="K790" i="1"/>
  <c r="J802" i="1"/>
  <c r="K786" i="1"/>
  <c r="J798" i="1"/>
  <c r="T15" i="1"/>
  <c r="T798" i="1" l="1"/>
  <c r="X798" i="1" s="1"/>
  <c r="K798" i="1"/>
  <c r="T802" i="1"/>
  <c r="X802" i="1" s="1"/>
  <c r="K802" i="1"/>
  <c r="L847" i="1"/>
  <c r="M858" i="1"/>
  <c r="M849" i="1" s="1"/>
  <c r="N859" i="1"/>
  <c r="X953" i="1"/>
  <c r="X951" i="1"/>
  <c r="V904" i="1"/>
  <c r="U889" i="1"/>
  <c r="K922" i="1"/>
  <c r="R922" i="1"/>
  <c r="X922" i="1" s="1"/>
  <c r="Y937" i="1"/>
  <c r="X971" i="1"/>
  <c r="Y966" i="1" s="1"/>
  <c r="X1034" i="1"/>
  <c r="Q935" i="1"/>
  <c r="X935" i="1" s="1"/>
  <c r="R959" i="1"/>
  <c r="X1036" i="1"/>
  <c r="X1040" i="1"/>
  <c r="X1044" i="1"/>
  <c r="X1048" i="1"/>
  <c r="X1052" i="1"/>
  <c r="L1000" i="1"/>
  <c r="X1000" i="1" s="1"/>
  <c r="X1001" i="1"/>
  <c r="X1008" i="1"/>
  <c r="N850" i="1"/>
  <c r="O853" i="1"/>
  <c r="X957" i="1"/>
  <c r="Q959" i="1"/>
  <c r="T795" i="1"/>
  <c r="K795" i="1"/>
  <c r="T796" i="1"/>
  <c r="X796" i="1" s="1"/>
  <c r="K796" i="1"/>
  <c r="T800" i="1"/>
  <c r="X800" i="1" s="1"/>
  <c r="K800" i="1"/>
  <c r="M873" i="1"/>
  <c r="N876" i="1"/>
  <c r="X969" i="1"/>
  <c r="X1032" i="1"/>
  <c r="U875" i="1"/>
  <c r="X881" i="1"/>
  <c r="X923" i="1"/>
  <c r="X945" i="1"/>
  <c r="Y945" i="1" s="1"/>
  <c r="X959" i="1"/>
  <c r="X1029" i="1"/>
  <c r="X1024" i="1" s="1"/>
  <c r="X1038" i="1"/>
  <c r="X1042" i="1"/>
  <c r="X1046" i="1"/>
  <c r="X1050" i="1"/>
  <c r="X1054" i="1"/>
  <c r="D759" i="1"/>
  <c r="D750" i="1"/>
  <c r="D731" i="1"/>
  <c r="D725" i="1"/>
  <c r="D719" i="1"/>
  <c r="C207" i="1"/>
  <c r="C262" i="1"/>
  <c r="C265" i="1"/>
  <c r="C270" i="1"/>
  <c r="C279" i="1"/>
  <c r="C287" i="1"/>
  <c r="C320" i="1"/>
  <c r="C326" i="1"/>
  <c r="C331" i="1"/>
  <c r="C337" i="1"/>
  <c r="C341" i="1"/>
  <c r="C352" i="1"/>
  <c r="C355" i="1"/>
  <c r="C357" i="1"/>
  <c r="C366" i="1"/>
  <c r="C377" i="1"/>
  <c r="C386" i="1"/>
  <c r="C381" i="1" s="1"/>
  <c r="C387" i="1"/>
  <c r="C389" i="1"/>
  <c r="C391" i="1"/>
  <c r="C394" i="1"/>
  <c r="C398" i="1"/>
  <c r="C405" i="1"/>
  <c r="C411" i="1"/>
  <c r="C414" i="1"/>
  <c r="C417" i="1"/>
  <c r="C421" i="1"/>
  <c r="C426" i="1"/>
  <c r="C439" i="1"/>
  <c r="C448" i="1"/>
  <c r="C452" i="1"/>
  <c r="M847" i="1" l="1"/>
  <c r="M766" i="1" s="1"/>
  <c r="T774" i="1"/>
  <c r="T773" i="1" s="1"/>
  <c r="X795" i="1"/>
  <c r="Y783" i="1" s="1"/>
  <c r="N858" i="1"/>
  <c r="N849" i="1" s="1"/>
  <c r="O859" i="1"/>
  <c r="X875" i="1"/>
  <c r="N873" i="1"/>
  <c r="O876" i="1"/>
  <c r="K775" i="1"/>
  <c r="P853" i="1"/>
  <c r="O850" i="1"/>
  <c r="V889" i="1"/>
  <c r="W904" i="1"/>
  <c r="L766" i="1"/>
  <c r="D760" i="1"/>
  <c r="C393" i="1"/>
  <c r="C410" i="1"/>
  <c r="C404" i="1" s="1"/>
  <c r="C403" i="1" s="1"/>
  <c r="C402" i="1" s="1"/>
  <c r="C336" i="1"/>
  <c r="C330" i="1" s="1"/>
  <c r="C261" i="1" s="1"/>
  <c r="N847" i="1" l="1"/>
  <c r="N766" i="1" s="1"/>
  <c r="W889" i="1"/>
  <c r="X904" i="1"/>
  <c r="X889" i="1" s="1"/>
  <c r="P850" i="1"/>
  <c r="Q853" i="1"/>
  <c r="P876" i="1"/>
  <c r="O873" i="1"/>
  <c r="O858" i="1"/>
  <c r="O849" i="1" s="1"/>
  <c r="P859" i="1"/>
  <c r="S704" i="1"/>
  <c r="S703" i="1"/>
  <c r="S702" i="1"/>
  <c r="S701" i="1"/>
  <c r="S700" i="1"/>
  <c r="S699" i="1"/>
  <c r="S698" i="1"/>
  <c r="S697" i="1"/>
  <c r="S692" i="1"/>
  <c r="R691" i="1"/>
  <c r="Q691" i="1"/>
  <c r="P691" i="1"/>
  <c r="O691" i="1"/>
  <c r="N691" i="1"/>
  <c r="M691" i="1"/>
  <c r="L691" i="1"/>
  <c r="S690" i="1"/>
  <c r="S689" i="1"/>
  <c r="S688" i="1"/>
  <c r="S687" i="1"/>
  <c r="S686" i="1"/>
  <c r="T686" i="1" s="1"/>
  <c r="O685" i="1"/>
  <c r="N685" i="1"/>
  <c r="M685" i="1"/>
  <c r="L685" i="1"/>
  <c r="K685" i="1"/>
  <c r="J685" i="1"/>
  <c r="I685" i="1"/>
  <c r="H685" i="1"/>
  <c r="G685" i="1"/>
  <c r="S684" i="1"/>
  <c r="S683" i="1"/>
  <c r="S682" i="1"/>
  <c r="T682" i="1" s="1"/>
  <c r="S681" i="1"/>
  <c r="T681" i="1" s="1"/>
  <c r="S680" i="1"/>
  <c r="T680" i="1" s="1"/>
  <c r="R679" i="1"/>
  <c r="Q679" i="1"/>
  <c r="P679" i="1"/>
  <c r="O679" i="1"/>
  <c r="N679" i="1"/>
  <c r="M679" i="1"/>
  <c r="L679" i="1"/>
  <c r="K679" i="1"/>
  <c r="J679" i="1"/>
  <c r="I679" i="1"/>
  <c r="S678" i="1"/>
  <c r="S677" i="1"/>
  <c r="J676" i="1"/>
  <c r="I676" i="1"/>
  <c r="H676" i="1"/>
  <c r="G676" i="1"/>
  <c r="R675" i="1"/>
  <c r="Q675" i="1"/>
  <c r="P675" i="1"/>
  <c r="O675" i="1"/>
  <c r="N675" i="1"/>
  <c r="M675" i="1"/>
  <c r="L675" i="1"/>
  <c r="K675" i="1"/>
  <c r="S674" i="1"/>
  <c r="N673" i="1"/>
  <c r="M673" i="1"/>
  <c r="L673" i="1"/>
  <c r="K673" i="1"/>
  <c r="J673" i="1"/>
  <c r="I673" i="1"/>
  <c r="H673" i="1"/>
  <c r="G673" i="1"/>
  <c r="S672" i="1"/>
  <c r="S671" i="1"/>
  <c r="O670" i="1"/>
  <c r="N670" i="1"/>
  <c r="M670" i="1"/>
  <c r="L670" i="1"/>
  <c r="K670" i="1"/>
  <c r="J670" i="1"/>
  <c r="I670" i="1"/>
  <c r="H670" i="1"/>
  <c r="G670" i="1"/>
  <c r="S669" i="1"/>
  <c r="S668" i="1"/>
  <c r="O667" i="1"/>
  <c r="N667" i="1"/>
  <c r="M667" i="1"/>
  <c r="L667" i="1"/>
  <c r="K667" i="1"/>
  <c r="J667" i="1"/>
  <c r="I667" i="1"/>
  <c r="H667" i="1"/>
  <c r="G667" i="1"/>
  <c r="S666" i="1"/>
  <c r="S665" i="1"/>
  <c r="N664" i="1"/>
  <c r="M664" i="1"/>
  <c r="L664" i="1"/>
  <c r="K664" i="1"/>
  <c r="J664" i="1"/>
  <c r="I664" i="1"/>
  <c r="H664" i="1"/>
  <c r="G664" i="1"/>
  <c r="S663" i="1"/>
  <c r="S662" i="1"/>
  <c r="J661" i="1"/>
  <c r="G661" i="1"/>
  <c r="S660" i="1"/>
  <c r="S659" i="1"/>
  <c r="J658" i="1"/>
  <c r="G658" i="1"/>
  <c r="S657" i="1"/>
  <c r="S656" i="1"/>
  <c r="S655" i="1"/>
  <c r="S654" i="1"/>
  <c r="L653" i="1"/>
  <c r="I653" i="1"/>
  <c r="S652" i="1"/>
  <c r="S651" i="1"/>
  <c r="J650" i="1"/>
  <c r="S650" i="1" s="1"/>
  <c r="S649" i="1"/>
  <c r="S648" i="1"/>
  <c r="S647" i="1"/>
  <c r="S646" i="1"/>
  <c r="S645" i="1"/>
  <c r="O644" i="1"/>
  <c r="N644" i="1"/>
  <c r="M644" i="1"/>
  <c r="L644" i="1"/>
  <c r="K644" i="1"/>
  <c r="J644" i="1"/>
  <c r="I644" i="1"/>
  <c r="H644" i="1"/>
  <c r="G644" i="1"/>
  <c r="S643" i="1"/>
  <c r="S642" i="1"/>
  <c r="S641" i="1"/>
  <c r="T641" i="1" s="1"/>
  <c r="S640" i="1"/>
  <c r="T640" i="1" s="1"/>
  <c r="S639" i="1"/>
  <c r="T639" i="1" s="1"/>
  <c r="S638" i="1"/>
  <c r="T638" i="1" s="1"/>
  <c r="S637" i="1"/>
  <c r="T637" i="1" s="1"/>
  <c r="K636" i="1"/>
  <c r="J636" i="1"/>
  <c r="I636" i="1"/>
  <c r="H636" i="1"/>
  <c r="G636" i="1"/>
  <c r="K635" i="1"/>
  <c r="J635" i="1"/>
  <c r="I635" i="1"/>
  <c r="H635" i="1"/>
  <c r="G635" i="1"/>
  <c r="S634" i="1"/>
  <c r="S633" i="1"/>
  <c r="Q632" i="1"/>
  <c r="P632" i="1"/>
  <c r="O632" i="1"/>
  <c r="N632" i="1"/>
  <c r="M632" i="1"/>
  <c r="L632" i="1"/>
  <c r="K632" i="1"/>
  <c r="J632" i="1"/>
  <c r="I632" i="1"/>
  <c r="H632" i="1"/>
  <c r="G632" i="1"/>
  <c r="Q631" i="1"/>
  <c r="P631" i="1"/>
  <c r="O631" i="1"/>
  <c r="N631" i="1"/>
  <c r="M631" i="1"/>
  <c r="L631" i="1"/>
  <c r="K631" i="1"/>
  <c r="J631" i="1"/>
  <c r="I631" i="1"/>
  <c r="H631" i="1"/>
  <c r="G631" i="1"/>
  <c r="S630" i="1"/>
  <c r="S629" i="1"/>
  <c r="O628" i="1"/>
  <c r="N628" i="1"/>
  <c r="M628" i="1"/>
  <c r="L628" i="1"/>
  <c r="K628" i="1"/>
  <c r="J628" i="1"/>
  <c r="I628" i="1"/>
  <c r="H628" i="1"/>
  <c r="G628" i="1"/>
  <c r="O627" i="1"/>
  <c r="N627" i="1"/>
  <c r="M627" i="1"/>
  <c r="L627" i="1"/>
  <c r="K627" i="1"/>
  <c r="J627" i="1"/>
  <c r="I627" i="1"/>
  <c r="H627" i="1"/>
  <c r="G627" i="1"/>
  <c r="S626" i="1"/>
  <c r="S625" i="1"/>
  <c r="S624" i="1"/>
  <c r="S623" i="1"/>
  <c r="S622" i="1"/>
  <c r="S621" i="1"/>
  <c r="S620" i="1"/>
  <c r="O847" i="1" l="1"/>
  <c r="O775" i="1" s="1"/>
  <c r="P858" i="1"/>
  <c r="P849" i="1" s="1"/>
  <c r="Q859" i="1"/>
  <c r="Q876" i="1"/>
  <c r="P873" i="1"/>
  <c r="R853" i="1"/>
  <c r="Q850" i="1"/>
  <c r="T620" i="1"/>
  <c r="S644" i="1"/>
  <c r="T642" i="1" s="1"/>
  <c r="S667" i="1"/>
  <c r="S670" i="1"/>
  <c r="T668" i="1" s="1"/>
  <c r="S675" i="1"/>
  <c r="S676" i="1"/>
  <c r="S679" i="1"/>
  <c r="T677" i="1" s="1"/>
  <c r="S685" i="1"/>
  <c r="T683" i="1" s="1"/>
  <c r="S691" i="1"/>
  <c r="T690" i="1" s="1"/>
  <c r="T623" i="1"/>
  <c r="S628" i="1"/>
  <c r="S631" i="1"/>
  <c r="S636" i="1"/>
  <c r="S653" i="1"/>
  <c r="T651" i="1" s="1"/>
  <c r="T654" i="1"/>
  <c r="T687" i="1"/>
  <c r="T648" i="1"/>
  <c r="S627" i="1"/>
  <c r="S632" i="1"/>
  <c r="S635" i="1"/>
  <c r="T645" i="1"/>
  <c r="S658" i="1"/>
  <c r="T656" i="1" s="1"/>
  <c r="S661" i="1"/>
  <c r="T659" i="1" s="1"/>
  <c r="S664" i="1"/>
  <c r="T662" i="1" s="1"/>
  <c r="T665" i="1"/>
  <c r="S673" i="1"/>
  <c r="T671" i="1" s="1"/>
  <c r="S705" i="1"/>
  <c r="P847" i="1" l="1"/>
  <c r="P766" i="1" s="1"/>
  <c r="R850" i="1"/>
  <c r="S853" i="1"/>
  <c r="R876" i="1"/>
  <c r="Q873" i="1"/>
  <c r="Q858" i="1"/>
  <c r="Q849" i="1" s="1"/>
  <c r="Q847" i="1" s="1"/>
  <c r="Q766" i="1" s="1"/>
  <c r="R859" i="1"/>
  <c r="O774" i="1"/>
  <c r="O773" i="1" s="1"/>
  <c r="O766" i="1" s="1"/>
  <c r="X775" i="1"/>
  <c r="X774" i="1" s="1"/>
  <c r="X773" i="1" s="1"/>
  <c r="T625" i="1"/>
  <c r="T633" i="1"/>
  <c r="T674" i="1"/>
  <c r="T629" i="1"/>
  <c r="V612" i="1"/>
  <c r="I612" i="1"/>
  <c r="V611" i="1"/>
  <c r="I611" i="1"/>
  <c r="V608" i="1"/>
  <c r="I608" i="1"/>
  <c r="V607" i="1"/>
  <c r="I607" i="1"/>
  <c r="V606" i="1"/>
  <c r="I606" i="1"/>
  <c r="V605" i="1"/>
  <c r="I605" i="1"/>
  <c r="V604" i="1"/>
  <c r="I604" i="1"/>
  <c r="V603" i="1"/>
  <c r="I603" i="1"/>
  <c r="V602" i="1"/>
  <c r="U602" i="1"/>
  <c r="T602" i="1"/>
  <c r="S602" i="1"/>
  <c r="R602" i="1"/>
  <c r="Q602" i="1"/>
  <c r="P602" i="1"/>
  <c r="O602" i="1"/>
  <c r="N602" i="1"/>
  <c r="M602" i="1"/>
  <c r="L602" i="1"/>
  <c r="K602" i="1"/>
  <c r="J602" i="1"/>
  <c r="I602" i="1"/>
  <c r="I601" i="1"/>
  <c r="V600" i="1"/>
  <c r="I600" i="1"/>
  <c r="V599" i="1"/>
  <c r="I599" i="1"/>
  <c r="V598" i="1"/>
  <c r="I598" i="1"/>
  <c r="V597" i="1"/>
  <c r="U597" i="1"/>
  <c r="T597" i="1"/>
  <c r="S597" i="1"/>
  <c r="R597" i="1"/>
  <c r="Q597" i="1"/>
  <c r="P597" i="1"/>
  <c r="O597" i="1"/>
  <c r="N597" i="1"/>
  <c r="M597" i="1"/>
  <c r="L597" i="1"/>
  <c r="K597" i="1"/>
  <c r="J597" i="1"/>
  <c r="I597" i="1"/>
  <c r="V596" i="1"/>
  <c r="I596" i="1"/>
  <c r="V595" i="1"/>
  <c r="I595" i="1"/>
  <c r="V594" i="1"/>
  <c r="I594" i="1"/>
  <c r="V593" i="1"/>
  <c r="U593" i="1"/>
  <c r="T593" i="1"/>
  <c r="S593" i="1"/>
  <c r="R593" i="1"/>
  <c r="Q593" i="1"/>
  <c r="P593" i="1"/>
  <c r="O593" i="1"/>
  <c r="N593" i="1"/>
  <c r="M593" i="1"/>
  <c r="L593" i="1"/>
  <c r="K593" i="1"/>
  <c r="J593" i="1"/>
  <c r="I593" i="1"/>
  <c r="V592" i="1"/>
  <c r="I592" i="1"/>
  <c r="V591" i="1"/>
  <c r="I591" i="1"/>
  <c r="V590" i="1"/>
  <c r="U590" i="1"/>
  <c r="T590" i="1"/>
  <c r="S590" i="1"/>
  <c r="R590" i="1"/>
  <c r="Q590" i="1"/>
  <c r="P590" i="1"/>
  <c r="O590" i="1"/>
  <c r="N590" i="1"/>
  <c r="M590" i="1"/>
  <c r="L590" i="1"/>
  <c r="K590" i="1"/>
  <c r="J590" i="1"/>
  <c r="I590" i="1"/>
  <c r="V589" i="1"/>
  <c r="I589" i="1"/>
  <c r="V588" i="1"/>
  <c r="I588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V586" i="1"/>
  <c r="I586" i="1"/>
  <c r="V585" i="1"/>
  <c r="I585" i="1"/>
  <c r="V584" i="1"/>
  <c r="U584" i="1"/>
  <c r="T584" i="1"/>
  <c r="S584" i="1"/>
  <c r="R584" i="1"/>
  <c r="Q584" i="1"/>
  <c r="P584" i="1"/>
  <c r="O584" i="1"/>
  <c r="N584" i="1"/>
  <c r="M584" i="1"/>
  <c r="L584" i="1"/>
  <c r="K584" i="1"/>
  <c r="J584" i="1"/>
  <c r="I584" i="1"/>
  <c r="I583" i="1"/>
  <c r="V582" i="1"/>
  <c r="I582" i="1"/>
  <c r="V581" i="1"/>
  <c r="I581" i="1"/>
  <c r="V580" i="1"/>
  <c r="I580" i="1"/>
  <c r="V579" i="1"/>
  <c r="I579" i="1"/>
  <c r="U578" i="1"/>
  <c r="T578" i="1"/>
  <c r="S578" i="1"/>
  <c r="R578" i="1"/>
  <c r="Q578" i="1"/>
  <c r="P578" i="1"/>
  <c r="O578" i="1"/>
  <c r="N578" i="1"/>
  <c r="M578" i="1"/>
  <c r="L578" i="1"/>
  <c r="K578" i="1"/>
  <c r="J578" i="1"/>
  <c r="I578" i="1"/>
  <c r="I577" i="1"/>
  <c r="V576" i="1"/>
  <c r="I576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V574" i="1"/>
  <c r="I574" i="1"/>
  <c r="V573" i="1"/>
  <c r="I573" i="1"/>
  <c r="V572" i="1"/>
  <c r="I572" i="1"/>
  <c r="V571" i="1"/>
  <c r="I571" i="1"/>
  <c r="V570" i="1"/>
  <c r="I570" i="1"/>
  <c r="V569" i="1"/>
  <c r="I569" i="1"/>
  <c r="V568" i="1"/>
  <c r="U568" i="1"/>
  <c r="T568" i="1"/>
  <c r="S568" i="1"/>
  <c r="R568" i="1"/>
  <c r="Q568" i="1"/>
  <c r="P568" i="1"/>
  <c r="O568" i="1"/>
  <c r="N568" i="1"/>
  <c r="M568" i="1"/>
  <c r="L568" i="1"/>
  <c r="K568" i="1"/>
  <c r="J568" i="1"/>
  <c r="I568" i="1"/>
  <c r="V567" i="1"/>
  <c r="I567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V565" i="1"/>
  <c r="V564" i="1" s="1"/>
  <c r="I565" i="1"/>
  <c r="U564" i="1"/>
  <c r="T564" i="1"/>
  <c r="S564" i="1"/>
  <c r="R564" i="1"/>
  <c r="Q564" i="1"/>
  <c r="P564" i="1"/>
  <c r="O564" i="1"/>
  <c r="N564" i="1"/>
  <c r="M564" i="1"/>
  <c r="L564" i="1"/>
  <c r="K564" i="1"/>
  <c r="J564" i="1"/>
  <c r="I564" i="1"/>
  <c r="V563" i="1"/>
  <c r="I563" i="1"/>
  <c r="V562" i="1"/>
  <c r="I562" i="1"/>
  <c r="V561" i="1"/>
  <c r="U561" i="1"/>
  <c r="T561" i="1"/>
  <c r="S561" i="1"/>
  <c r="R561" i="1"/>
  <c r="Q561" i="1"/>
  <c r="P561" i="1"/>
  <c r="O561" i="1"/>
  <c r="N561" i="1"/>
  <c r="M561" i="1"/>
  <c r="L561" i="1"/>
  <c r="K561" i="1"/>
  <c r="J561" i="1"/>
  <c r="I561" i="1"/>
  <c r="V560" i="1"/>
  <c r="I560" i="1"/>
  <c r="I559" i="1"/>
  <c r="V558" i="1"/>
  <c r="U557" i="1"/>
  <c r="T557" i="1"/>
  <c r="S557" i="1"/>
  <c r="R557" i="1"/>
  <c r="Q557" i="1"/>
  <c r="P557" i="1"/>
  <c r="O557" i="1"/>
  <c r="N557" i="1"/>
  <c r="M557" i="1"/>
  <c r="L557" i="1"/>
  <c r="K557" i="1"/>
  <c r="J557" i="1"/>
  <c r="I557" i="1"/>
  <c r="V556" i="1"/>
  <c r="I556" i="1"/>
  <c r="V555" i="1"/>
  <c r="I555" i="1"/>
  <c r="V554" i="1"/>
  <c r="I554" i="1"/>
  <c r="V553" i="1"/>
  <c r="I553" i="1"/>
  <c r="V552" i="1"/>
  <c r="I552" i="1"/>
  <c r="V551" i="1"/>
  <c r="I551" i="1"/>
  <c r="V550" i="1"/>
  <c r="I550" i="1"/>
  <c r="V549" i="1"/>
  <c r="I549" i="1"/>
  <c r="V548" i="1"/>
  <c r="I548" i="1"/>
  <c r="V547" i="1"/>
  <c r="I547" i="1"/>
  <c r="V546" i="1"/>
  <c r="I546" i="1"/>
  <c r="V545" i="1"/>
  <c r="V544" i="1"/>
  <c r="V543" i="1" s="1"/>
  <c r="I544" i="1"/>
  <c r="U543" i="1"/>
  <c r="T543" i="1"/>
  <c r="S543" i="1"/>
  <c r="R543" i="1"/>
  <c r="Q543" i="1"/>
  <c r="P543" i="1"/>
  <c r="O543" i="1"/>
  <c r="N543" i="1"/>
  <c r="M543" i="1"/>
  <c r="L543" i="1"/>
  <c r="K543" i="1"/>
  <c r="J543" i="1"/>
  <c r="I543" i="1"/>
  <c r="V542" i="1"/>
  <c r="V541" i="1" s="1"/>
  <c r="I542" i="1"/>
  <c r="U541" i="1"/>
  <c r="T541" i="1"/>
  <c r="S541" i="1"/>
  <c r="R541" i="1"/>
  <c r="Q541" i="1"/>
  <c r="P541" i="1"/>
  <c r="O541" i="1"/>
  <c r="N541" i="1"/>
  <c r="M541" i="1"/>
  <c r="L541" i="1"/>
  <c r="K541" i="1"/>
  <c r="J541" i="1"/>
  <c r="I541" i="1"/>
  <c r="V540" i="1"/>
  <c r="I540" i="1"/>
  <c r="V539" i="1"/>
  <c r="I539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V537" i="1"/>
  <c r="V536" i="1"/>
  <c r="V535" i="1"/>
  <c r="I535" i="1"/>
  <c r="U534" i="1"/>
  <c r="T534" i="1"/>
  <c r="S534" i="1"/>
  <c r="R534" i="1"/>
  <c r="Q534" i="1"/>
  <c r="P534" i="1"/>
  <c r="O534" i="1"/>
  <c r="N534" i="1"/>
  <c r="M534" i="1"/>
  <c r="L534" i="1"/>
  <c r="K534" i="1"/>
  <c r="J534" i="1"/>
  <c r="I534" i="1"/>
  <c r="V533" i="1"/>
  <c r="I533" i="1"/>
  <c r="V532" i="1"/>
  <c r="I532" i="1"/>
  <c r="V531" i="1"/>
  <c r="V530" i="1" s="1"/>
  <c r="I531" i="1"/>
  <c r="U530" i="1"/>
  <c r="T530" i="1"/>
  <c r="S530" i="1"/>
  <c r="R530" i="1"/>
  <c r="Q530" i="1"/>
  <c r="P530" i="1"/>
  <c r="N530" i="1"/>
  <c r="M530" i="1"/>
  <c r="L530" i="1"/>
  <c r="K530" i="1"/>
  <c r="J530" i="1"/>
  <c r="I530" i="1"/>
  <c r="V529" i="1"/>
  <c r="I529" i="1"/>
  <c r="V528" i="1"/>
  <c r="I528" i="1"/>
  <c r="V527" i="1"/>
  <c r="U527" i="1"/>
  <c r="T527" i="1"/>
  <c r="S527" i="1"/>
  <c r="R527" i="1"/>
  <c r="Q527" i="1"/>
  <c r="P527" i="1"/>
  <c r="O527" i="1"/>
  <c r="N527" i="1"/>
  <c r="M527" i="1"/>
  <c r="L527" i="1"/>
  <c r="K527" i="1"/>
  <c r="J527" i="1"/>
  <c r="I527" i="1"/>
  <c r="V526" i="1"/>
  <c r="I526" i="1"/>
  <c r="V525" i="1"/>
  <c r="I525" i="1"/>
  <c r="V524" i="1"/>
  <c r="I524" i="1"/>
  <c r="V523" i="1"/>
  <c r="U523" i="1"/>
  <c r="T523" i="1"/>
  <c r="S523" i="1"/>
  <c r="R523" i="1"/>
  <c r="Q523" i="1"/>
  <c r="P523" i="1"/>
  <c r="O523" i="1"/>
  <c r="N523" i="1"/>
  <c r="M523" i="1"/>
  <c r="L523" i="1"/>
  <c r="K523" i="1"/>
  <c r="J523" i="1"/>
  <c r="I523" i="1"/>
  <c r="V522" i="1"/>
  <c r="V521" i="1"/>
  <c r="V520" i="1"/>
  <c r="V519" i="1"/>
  <c r="U518" i="1"/>
  <c r="T518" i="1"/>
  <c r="S518" i="1"/>
  <c r="R518" i="1"/>
  <c r="Q518" i="1"/>
  <c r="P518" i="1"/>
  <c r="O518" i="1"/>
  <c r="N518" i="1"/>
  <c r="M518" i="1"/>
  <c r="L518" i="1"/>
  <c r="K518" i="1"/>
  <c r="J518" i="1"/>
  <c r="I518" i="1"/>
  <c r="I517" i="1"/>
  <c r="V516" i="1"/>
  <c r="I516" i="1"/>
  <c r="V515" i="1"/>
  <c r="I515" i="1"/>
  <c r="V514" i="1"/>
  <c r="U514" i="1"/>
  <c r="T514" i="1"/>
  <c r="S514" i="1"/>
  <c r="R514" i="1"/>
  <c r="Q514" i="1"/>
  <c r="P514" i="1"/>
  <c r="O514" i="1"/>
  <c r="N514" i="1"/>
  <c r="M514" i="1"/>
  <c r="L514" i="1"/>
  <c r="K514" i="1"/>
  <c r="J514" i="1"/>
  <c r="I514" i="1"/>
  <c r="V513" i="1"/>
  <c r="I513" i="1"/>
  <c r="V512" i="1"/>
  <c r="I512" i="1"/>
  <c r="V511" i="1"/>
  <c r="I511" i="1"/>
  <c r="V510" i="1"/>
  <c r="U510" i="1"/>
  <c r="T510" i="1"/>
  <c r="S510" i="1"/>
  <c r="R510" i="1"/>
  <c r="Q510" i="1"/>
  <c r="P510" i="1"/>
  <c r="O510" i="1"/>
  <c r="N510" i="1"/>
  <c r="M510" i="1"/>
  <c r="L510" i="1"/>
  <c r="K510" i="1"/>
  <c r="J510" i="1"/>
  <c r="I510" i="1"/>
  <c r="V509" i="1"/>
  <c r="V508" i="1"/>
  <c r="I508" i="1"/>
  <c r="V507" i="1"/>
  <c r="I507" i="1"/>
  <c r="U506" i="1"/>
  <c r="T506" i="1"/>
  <c r="S506" i="1"/>
  <c r="R506" i="1"/>
  <c r="Q506" i="1"/>
  <c r="P506" i="1"/>
  <c r="O506" i="1"/>
  <c r="N506" i="1"/>
  <c r="M506" i="1"/>
  <c r="L506" i="1"/>
  <c r="K506" i="1"/>
  <c r="J506" i="1"/>
  <c r="I506" i="1"/>
  <c r="V504" i="1"/>
  <c r="I504" i="1"/>
  <c r="V503" i="1"/>
  <c r="I503" i="1"/>
  <c r="V502" i="1"/>
  <c r="I502" i="1"/>
  <c r="V501" i="1"/>
  <c r="I501" i="1"/>
  <c r="V500" i="1"/>
  <c r="I500" i="1"/>
  <c r="V499" i="1"/>
  <c r="I499" i="1"/>
  <c r="V498" i="1"/>
  <c r="I498" i="1"/>
  <c r="V497" i="1"/>
  <c r="U497" i="1"/>
  <c r="T497" i="1"/>
  <c r="S497" i="1"/>
  <c r="R497" i="1"/>
  <c r="Q497" i="1"/>
  <c r="P497" i="1"/>
  <c r="O497" i="1"/>
  <c r="N497" i="1"/>
  <c r="M497" i="1"/>
  <c r="L497" i="1"/>
  <c r="K497" i="1"/>
  <c r="J497" i="1"/>
  <c r="I497" i="1"/>
  <c r="I496" i="1"/>
  <c r="I495" i="1"/>
  <c r="I494" i="1"/>
  <c r="I493" i="1"/>
  <c r="I492" i="1"/>
  <c r="I491" i="1"/>
  <c r="I490" i="1"/>
  <c r="V489" i="1"/>
  <c r="I489" i="1"/>
  <c r="V488" i="1"/>
  <c r="V487" i="1" s="1"/>
  <c r="I488" i="1"/>
  <c r="U487" i="1"/>
  <c r="T487" i="1"/>
  <c r="S487" i="1"/>
  <c r="R487" i="1"/>
  <c r="Q487" i="1"/>
  <c r="P487" i="1"/>
  <c r="O487" i="1"/>
  <c r="N487" i="1"/>
  <c r="M487" i="1"/>
  <c r="L487" i="1"/>
  <c r="K487" i="1"/>
  <c r="J487" i="1"/>
  <c r="I487" i="1"/>
  <c r="V486" i="1"/>
  <c r="I486" i="1"/>
  <c r="V485" i="1"/>
  <c r="I485" i="1"/>
  <c r="V484" i="1"/>
  <c r="I484" i="1"/>
  <c r="V483" i="1"/>
  <c r="I483" i="1"/>
  <c r="V482" i="1"/>
  <c r="I482" i="1"/>
  <c r="V481" i="1"/>
  <c r="I481" i="1"/>
  <c r="U480" i="1"/>
  <c r="T480" i="1"/>
  <c r="S480" i="1"/>
  <c r="R480" i="1"/>
  <c r="Q480" i="1"/>
  <c r="P480" i="1"/>
  <c r="O480" i="1"/>
  <c r="N480" i="1"/>
  <c r="M480" i="1"/>
  <c r="L480" i="1"/>
  <c r="K480" i="1"/>
  <c r="J480" i="1"/>
  <c r="I480" i="1"/>
  <c r="I479" i="1"/>
  <c r="V478" i="1"/>
  <c r="I478" i="1"/>
  <c r="V477" i="1"/>
  <c r="I477" i="1"/>
  <c r="V476" i="1"/>
  <c r="I476" i="1"/>
  <c r="U475" i="1"/>
  <c r="T475" i="1"/>
  <c r="S475" i="1"/>
  <c r="R475" i="1"/>
  <c r="Q475" i="1"/>
  <c r="P475" i="1"/>
  <c r="O475" i="1"/>
  <c r="N475" i="1"/>
  <c r="M475" i="1"/>
  <c r="L475" i="1"/>
  <c r="K475" i="1"/>
  <c r="J475" i="1"/>
  <c r="I475" i="1"/>
  <c r="V474" i="1"/>
  <c r="I474" i="1"/>
  <c r="V473" i="1"/>
  <c r="I473" i="1"/>
  <c r="V472" i="1"/>
  <c r="I472" i="1"/>
  <c r="V471" i="1"/>
  <c r="I471" i="1"/>
  <c r="V470" i="1"/>
  <c r="I470" i="1"/>
  <c r="V469" i="1"/>
  <c r="V468" i="1" s="1"/>
  <c r="I469" i="1"/>
  <c r="U468" i="1"/>
  <c r="T468" i="1"/>
  <c r="S468" i="1"/>
  <c r="R468" i="1"/>
  <c r="Q468" i="1"/>
  <c r="P468" i="1"/>
  <c r="O468" i="1"/>
  <c r="N468" i="1"/>
  <c r="M468" i="1"/>
  <c r="L468" i="1"/>
  <c r="K468" i="1"/>
  <c r="J468" i="1"/>
  <c r="I468" i="1"/>
  <c r="I467" i="1"/>
  <c r="I466" i="1"/>
  <c r="V465" i="1"/>
  <c r="I465" i="1"/>
  <c r="V464" i="1"/>
  <c r="I464" i="1"/>
  <c r="V463" i="1"/>
  <c r="I463" i="1"/>
  <c r="V462" i="1"/>
  <c r="I462" i="1"/>
  <c r="U461" i="1"/>
  <c r="U460" i="1" s="1"/>
  <c r="T461" i="1"/>
  <c r="T460" i="1" s="1"/>
  <c r="S461" i="1"/>
  <c r="S460" i="1" s="1"/>
  <c r="R461" i="1"/>
  <c r="R460" i="1" s="1"/>
  <c r="Q461" i="1"/>
  <c r="Q460" i="1" s="1"/>
  <c r="P461" i="1"/>
  <c r="P460" i="1" s="1"/>
  <c r="O461" i="1"/>
  <c r="O460" i="1" s="1"/>
  <c r="N461" i="1"/>
  <c r="N460" i="1" s="1"/>
  <c r="M461" i="1"/>
  <c r="M460" i="1" s="1"/>
  <c r="L461" i="1"/>
  <c r="L460" i="1" s="1"/>
  <c r="K461" i="1"/>
  <c r="K460" i="1" s="1"/>
  <c r="J461" i="1"/>
  <c r="I461" i="1"/>
  <c r="I460" i="1"/>
  <c r="S876" i="1" l="1"/>
  <c r="R873" i="1"/>
  <c r="T853" i="1"/>
  <c r="S850" i="1"/>
  <c r="S859" i="1"/>
  <c r="R858" i="1"/>
  <c r="X859" i="1"/>
  <c r="R849" i="1"/>
  <c r="R847" i="1" s="1"/>
  <c r="R766" i="1" s="1"/>
  <c r="T693" i="1"/>
  <c r="V480" i="1"/>
  <c r="U583" i="1"/>
  <c r="U577" i="1" s="1"/>
  <c r="J583" i="1"/>
  <c r="L583" i="1"/>
  <c r="N583" i="1"/>
  <c r="P583" i="1"/>
  <c r="R583" i="1"/>
  <c r="T583" i="1"/>
  <c r="M583" i="1"/>
  <c r="O583" i="1"/>
  <c r="Q583" i="1"/>
  <c r="S583" i="1"/>
  <c r="J577" i="1"/>
  <c r="V534" i="1"/>
  <c r="V557" i="1"/>
  <c r="L577" i="1"/>
  <c r="N577" i="1"/>
  <c r="P577" i="1"/>
  <c r="R577" i="1"/>
  <c r="T577" i="1"/>
  <c r="V461" i="1"/>
  <c r="V506" i="1"/>
  <c r="M577" i="1"/>
  <c r="O577" i="1"/>
  <c r="Q577" i="1"/>
  <c r="S577" i="1"/>
  <c r="V460" i="1"/>
  <c r="V475" i="1"/>
  <c r="V518" i="1"/>
  <c r="V578" i="1"/>
  <c r="K583" i="1"/>
  <c r="K577" i="1" s="1"/>
  <c r="S858" i="1" l="1"/>
  <c r="T860" i="1"/>
  <c r="V860" i="1"/>
  <c r="V858" i="1" s="1"/>
  <c r="W860" i="1"/>
  <c r="W858" i="1" s="1"/>
  <c r="U860" i="1"/>
  <c r="U858" i="1" s="1"/>
  <c r="T876" i="1"/>
  <c r="S873" i="1"/>
  <c r="S849" i="1" s="1"/>
  <c r="S847" i="1" s="1"/>
  <c r="S766" i="1" s="1"/>
  <c r="T850" i="1"/>
  <c r="U853" i="1"/>
  <c r="V577" i="1"/>
  <c r="V583" i="1"/>
  <c r="E446" i="1"/>
  <c r="E445" i="1"/>
  <c r="L444" i="1"/>
  <c r="K441" i="1"/>
  <c r="J450" i="1"/>
  <c r="J444" i="1"/>
  <c r="I443" i="1"/>
  <c r="H447" i="1"/>
  <c r="H444" i="1"/>
  <c r="H438" i="1"/>
  <c r="G442" i="1"/>
  <c r="G441" i="1"/>
  <c r="D440" i="1"/>
  <c r="B444" i="1"/>
  <c r="B439" i="1" s="1"/>
  <c r="E448" i="1"/>
  <c r="F439" i="1"/>
  <c r="V853" i="1" l="1"/>
  <c r="U850" i="1"/>
  <c r="X860" i="1"/>
  <c r="X858" i="1" s="1"/>
  <c r="T858" i="1"/>
  <c r="U876" i="1"/>
  <c r="T873" i="1"/>
  <c r="T849" i="1" s="1"/>
  <c r="T847" i="1" s="1"/>
  <c r="T766" i="1" s="1"/>
  <c r="E439" i="1"/>
  <c r="B452" i="1"/>
  <c r="B448" i="1"/>
  <c r="J31" i="7"/>
  <c r="J526" i="7"/>
  <c r="G525" i="7"/>
  <c r="J525" i="7" s="1"/>
  <c r="J522" i="7"/>
  <c r="G522" i="7"/>
  <c r="K521" i="7"/>
  <c r="K520" i="7" s="1"/>
  <c r="J518" i="7"/>
  <c r="G518" i="7"/>
  <c r="J517" i="7"/>
  <c r="G517" i="7"/>
  <c r="J516" i="7"/>
  <c r="G516" i="7"/>
  <c r="J515" i="7"/>
  <c r="G515" i="7"/>
  <c r="J514" i="7"/>
  <c r="G514" i="7"/>
  <c r="J513" i="7"/>
  <c r="G512" i="7"/>
  <c r="J512" i="7" s="1"/>
  <c r="J511" i="7" s="1"/>
  <c r="K510" i="7" s="1"/>
  <c r="K509" i="7" s="1"/>
  <c r="J507" i="7"/>
  <c r="J506" i="7"/>
  <c r="J505" i="7"/>
  <c r="J504" i="7"/>
  <c r="J503" i="7"/>
  <c r="K502" i="7" s="1"/>
  <c r="J500" i="7"/>
  <c r="G500" i="7"/>
  <c r="J499" i="7"/>
  <c r="G499" i="7"/>
  <c r="K498" i="7"/>
  <c r="G497" i="7"/>
  <c r="J497" i="7" s="1"/>
  <c r="G496" i="7"/>
  <c r="J496" i="7" s="1"/>
  <c r="J494" i="7"/>
  <c r="G494" i="7"/>
  <c r="J493" i="7"/>
  <c r="G493" i="7"/>
  <c r="J492" i="7"/>
  <c r="G492" i="7"/>
  <c r="J491" i="7"/>
  <c r="G491" i="7"/>
  <c r="J490" i="7"/>
  <c r="G490" i="7"/>
  <c r="J489" i="7"/>
  <c r="G489" i="7"/>
  <c r="J488" i="7"/>
  <c r="G488" i="7"/>
  <c r="J487" i="7"/>
  <c r="G487" i="7"/>
  <c r="J486" i="7"/>
  <c r="G486" i="7"/>
  <c r="J485" i="7"/>
  <c r="G485" i="7"/>
  <c r="K484" i="7"/>
  <c r="G483" i="7"/>
  <c r="J483" i="7" s="1"/>
  <c r="G482" i="7"/>
  <c r="J482" i="7" s="1"/>
  <c r="K481" i="7" s="1"/>
  <c r="G478" i="7"/>
  <c r="J478" i="7" s="1"/>
  <c r="G477" i="7"/>
  <c r="J477" i="7" s="1"/>
  <c r="J475" i="7"/>
  <c r="G475" i="7"/>
  <c r="J474" i="7"/>
  <c r="G474" i="7"/>
  <c r="K473" i="7"/>
  <c r="G472" i="7"/>
  <c r="J472" i="7" s="1"/>
  <c r="G471" i="7"/>
  <c r="J471" i="7" s="1"/>
  <c r="G470" i="7"/>
  <c r="J470" i="7" s="1"/>
  <c r="G469" i="7"/>
  <c r="J469" i="7" s="1"/>
  <c r="G468" i="7"/>
  <c r="J468" i="7" s="1"/>
  <c r="G467" i="7"/>
  <c r="J467" i="7" s="1"/>
  <c r="G466" i="7"/>
  <c r="J466" i="7" s="1"/>
  <c r="G465" i="7"/>
  <c r="J465" i="7" s="1"/>
  <c r="G464" i="7"/>
  <c r="J464" i="7" s="1"/>
  <c r="G463" i="7"/>
  <c r="J463" i="7" s="1"/>
  <c r="K462" i="7" s="1"/>
  <c r="J461" i="7"/>
  <c r="G461" i="7"/>
  <c r="J460" i="7"/>
  <c r="G460" i="7"/>
  <c r="K459" i="7"/>
  <c r="J456" i="7"/>
  <c r="G456" i="7"/>
  <c r="J455" i="7"/>
  <c r="G455" i="7"/>
  <c r="K454" i="7"/>
  <c r="G453" i="7"/>
  <c r="J453" i="7" s="1"/>
  <c r="G452" i="7"/>
  <c r="J452" i="7" s="1"/>
  <c r="K451" i="7" s="1"/>
  <c r="J450" i="7"/>
  <c r="G450" i="7"/>
  <c r="J449" i="7"/>
  <c r="G449" i="7"/>
  <c r="J448" i="7"/>
  <c r="G448" i="7"/>
  <c r="J447" i="7"/>
  <c r="G447" i="7"/>
  <c r="J446" i="7"/>
  <c r="G446" i="7"/>
  <c r="J445" i="7"/>
  <c r="G445" i="7"/>
  <c r="J444" i="7"/>
  <c r="G444" i="7"/>
  <c r="J443" i="7"/>
  <c r="G443" i="7"/>
  <c r="J442" i="7"/>
  <c r="G442" i="7"/>
  <c r="J441" i="7"/>
  <c r="G441" i="7"/>
  <c r="K440" i="7"/>
  <c r="G439" i="7"/>
  <c r="J439" i="7" s="1"/>
  <c r="G438" i="7"/>
  <c r="J438" i="7" s="1"/>
  <c r="G434" i="7"/>
  <c r="J434" i="7" s="1"/>
  <c r="G433" i="7"/>
  <c r="J433" i="7" s="1"/>
  <c r="K432" i="7" s="1"/>
  <c r="J431" i="7"/>
  <c r="G431" i="7"/>
  <c r="J430" i="7"/>
  <c r="G430" i="7"/>
  <c r="K429" i="7"/>
  <c r="G428" i="7"/>
  <c r="J428" i="7" s="1"/>
  <c r="G427" i="7"/>
  <c r="J427" i="7" s="1"/>
  <c r="G426" i="7"/>
  <c r="J426" i="7" s="1"/>
  <c r="G425" i="7"/>
  <c r="J425" i="7" s="1"/>
  <c r="G424" i="7"/>
  <c r="J424" i="7" s="1"/>
  <c r="G423" i="7"/>
  <c r="J423" i="7" s="1"/>
  <c r="G422" i="7"/>
  <c r="J422" i="7" s="1"/>
  <c r="G421" i="7"/>
  <c r="J421" i="7" s="1"/>
  <c r="G420" i="7"/>
  <c r="J420" i="7" s="1"/>
  <c r="G419" i="7"/>
  <c r="J419" i="7" s="1"/>
  <c r="J417" i="7"/>
  <c r="G417" i="7"/>
  <c r="J416" i="7"/>
  <c r="G416" i="7"/>
  <c r="K415" i="7"/>
  <c r="G411" i="7"/>
  <c r="J411" i="7" s="1"/>
  <c r="G410" i="7"/>
  <c r="J410" i="7" s="1"/>
  <c r="J408" i="7"/>
  <c r="G408" i="7"/>
  <c r="J407" i="7"/>
  <c r="G407" i="7"/>
  <c r="K406" i="7"/>
  <c r="G405" i="7"/>
  <c r="J405" i="7" s="1"/>
  <c r="G404" i="7"/>
  <c r="J404" i="7" s="1"/>
  <c r="G403" i="7"/>
  <c r="J403" i="7" s="1"/>
  <c r="G402" i="7"/>
  <c r="J402" i="7" s="1"/>
  <c r="G401" i="7"/>
  <c r="J401" i="7" s="1"/>
  <c r="G400" i="7"/>
  <c r="J400" i="7" s="1"/>
  <c r="G399" i="7"/>
  <c r="J399" i="7" s="1"/>
  <c r="G398" i="7"/>
  <c r="J398" i="7" s="1"/>
  <c r="K397" i="7" s="1"/>
  <c r="J396" i="7"/>
  <c r="G396" i="7"/>
  <c r="K395" i="7"/>
  <c r="J392" i="7"/>
  <c r="G392" i="7"/>
  <c r="J391" i="7"/>
  <c r="G391" i="7"/>
  <c r="K390" i="7"/>
  <c r="G389" i="7"/>
  <c r="J389" i="7" s="1"/>
  <c r="G388" i="7"/>
  <c r="J388" i="7" s="1"/>
  <c r="K387" i="7" s="1"/>
  <c r="J386" i="7"/>
  <c r="G386" i="7"/>
  <c r="J385" i="7"/>
  <c r="G385" i="7"/>
  <c r="J384" i="7"/>
  <c r="G384" i="7"/>
  <c r="J383" i="7"/>
  <c r="G383" i="7"/>
  <c r="J382" i="7"/>
  <c r="G382" i="7"/>
  <c r="J381" i="7"/>
  <c r="G381" i="7"/>
  <c r="J380" i="7"/>
  <c r="G380" i="7"/>
  <c r="J379" i="7"/>
  <c r="G379" i="7"/>
  <c r="K378" i="7"/>
  <c r="G377" i="7"/>
  <c r="J377" i="7" s="1"/>
  <c r="K376" i="7" s="1"/>
  <c r="K375" i="7" s="1"/>
  <c r="J372" i="7"/>
  <c r="G372" i="7"/>
  <c r="J371" i="7"/>
  <c r="G371" i="7"/>
  <c r="K370" i="7"/>
  <c r="J369" i="7"/>
  <c r="K368" i="7"/>
  <c r="G368" i="7"/>
  <c r="J367" i="7"/>
  <c r="G367" i="7"/>
  <c r="J366" i="7"/>
  <c r="G366" i="7"/>
  <c r="J365" i="7"/>
  <c r="G365" i="7"/>
  <c r="J364" i="7"/>
  <c r="G364" i="7"/>
  <c r="J363" i="7"/>
  <c r="G363" i="7"/>
  <c r="J362" i="7"/>
  <c r="G362" i="7"/>
  <c r="J361" i="7"/>
  <c r="G360" i="7"/>
  <c r="J360" i="7" s="1"/>
  <c r="G359" i="7"/>
  <c r="J359" i="7" s="1"/>
  <c r="K357" i="7" s="1"/>
  <c r="J356" i="7"/>
  <c r="G356" i="7"/>
  <c r="J355" i="7"/>
  <c r="G355" i="7"/>
  <c r="J354" i="7"/>
  <c r="G354" i="7"/>
  <c r="J353" i="7"/>
  <c r="G353" i="7"/>
  <c r="J352" i="7"/>
  <c r="G352" i="7"/>
  <c r="K351" i="7"/>
  <c r="G350" i="7"/>
  <c r="J350" i="7" s="1"/>
  <c r="G349" i="7"/>
  <c r="J349" i="7" s="1"/>
  <c r="J347" i="7"/>
  <c r="G347" i="7"/>
  <c r="J346" i="7"/>
  <c r="G345" i="7"/>
  <c r="J345" i="7" s="1"/>
  <c r="G344" i="7"/>
  <c r="J344" i="7" s="1"/>
  <c r="G343" i="7"/>
  <c r="J343" i="7" s="1"/>
  <c r="G342" i="7"/>
  <c r="J342" i="7" s="1"/>
  <c r="G341" i="7"/>
  <c r="J341" i="7" s="1"/>
  <c r="G340" i="7"/>
  <c r="J340" i="7" s="1"/>
  <c r="G339" i="7"/>
  <c r="J339" i="7" s="1"/>
  <c r="G338" i="7"/>
  <c r="J338" i="7" s="1"/>
  <c r="G337" i="7"/>
  <c r="J337" i="7" s="1"/>
  <c r="G336" i="7"/>
  <c r="J336" i="7" s="1"/>
  <c r="G335" i="7"/>
  <c r="J335" i="7" s="1"/>
  <c r="J334" i="7"/>
  <c r="G334" i="7"/>
  <c r="J333" i="7"/>
  <c r="G333" i="7"/>
  <c r="J332" i="7"/>
  <c r="G332" i="7"/>
  <c r="K331" i="7"/>
  <c r="G330" i="7"/>
  <c r="J330" i="7" s="1"/>
  <c r="G329" i="7"/>
  <c r="J329" i="7" s="1"/>
  <c r="G328" i="7"/>
  <c r="J328" i="7" s="1"/>
  <c r="K327" i="7" s="1"/>
  <c r="J326" i="7"/>
  <c r="G326" i="7"/>
  <c r="J325" i="7"/>
  <c r="G325" i="7"/>
  <c r="J324" i="7"/>
  <c r="G324" i="7"/>
  <c r="K323" i="7"/>
  <c r="J320" i="7"/>
  <c r="G320" i="7"/>
  <c r="J319" i="7"/>
  <c r="G319" i="7"/>
  <c r="K318" i="7"/>
  <c r="J317" i="7"/>
  <c r="K316" i="7"/>
  <c r="G316" i="7"/>
  <c r="J315" i="7"/>
  <c r="G315" i="7"/>
  <c r="J314" i="7"/>
  <c r="G314" i="7"/>
  <c r="J313" i="7"/>
  <c r="G313" i="7"/>
  <c r="J312" i="7"/>
  <c r="G312" i="7"/>
  <c r="J311" i="7"/>
  <c r="G311" i="7"/>
  <c r="J310" i="7"/>
  <c r="G310" i="7"/>
  <c r="J309" i="7"/>
  <c r="G308" i="7"/>
  <c r="J308" i="7" s="1"/>
  <c r="G307" i="7"/>
  <c r="J307" i="7" s="1"/>
  <c r="K305" i="7" s="1"/>
  <c r="J304" i="7"/>
  <c r="G304" i="7"/>
  <c r="J303" i="7"/>
  <c r="G303" i="7"/>
  <c r="J302" i="7"/>
  <c r="G302" i="7"/>
  <c r="J301" i="7"/>
  <c r="G301" i="7"/>
  <c r="J300" i="7"/>
  <c r="G300" i="7"/>
  <c r="K299" i="7"/>
  <c r="G298" i="7"/>
  <c r="J298" i="7" s="1"/>
  <c r="G297" i="7"/>
  <c r="J297" i="7" s="1"/>
  <c r="J295" i="7"/>
  <c r="G295" i="7"/>
  <c r="J294" i="7"/>
  <c r="G293" i="7"/>
  <c r="J293" i="7" s="1"/>
  <c r="G292" i="7"/>
  <c r="J292" i="7" s="1"/>
  <c r="G291" i="7"/>
  <c r="J291" i="7" s="1"/>
  <c r="G290" i="7"/>
  <c r="J290" i="7" s="1"/>
  <c r="G289" i="7"/>
  <c r="J289" i="7" s="1"/>
  <c r="G288" i="7"/>
  <c r="J288" i="7" s="1"/>
  <c r="G287" i="7"/>
  <c r="J287" i="7" s="1"/>
  <c r="G286" i="7"/>
  <c r="J286" i="7" s="1"/>
  <c r="G285" i="7"/>
  <c r="J285" i="7" s="1"/>
  <c r="G284" i="7"/>
  <c r="J284" i="7" s="1"/>
  <c r="G283" i="7"/>
  <c r="J283" i="7" s="1"/>
  <c r="G282" i="7"/>
  <c r="J282" i="7" s="1"/>
  <c r="G281" i="7"/>
  <c r="J281" i="7" s="1"/>
  <c r="G280" i="7"/>
  <c r="J280" i="7" s="1"/>
  <c r="K279" i="7" s="1"/>
  <c r="J278" i="7"/>
  <c r="G278" i="7"/>
  <c r="J277" i="7"/>
  <c r="G277" i="7"/>
  <c r="J276" i="7"/>
  <c r="G276" i="7"/>
  <c r="K275" i="7"/>
  <c r="G274" i="7"/>
  <c r="J274" i="7" s="1"/>
  <c r="G273" i="7"/>
  <c r="J273" i="7" s="1"/>
  <c r="G272" i="7"/>
  <c r="J272" i="7" s="1"/>
  <c r="K271" i="7" s="1"/>
  <c r="G268" i="7"/>
  <c r="J268" i="7" s="1"/>
  <c r="G267" i="7"/>
  <c r="J267" i="7" s="1"/>
  <c r="G266" i="7"/>
  <c r="J266" i="7" s="1"/>
  <c r="G265" i="7"/>
  <c r="J265" i="7" s="1"/>
  <c r="G264" i="7"/>
  <c r="J264" i="7" s="1"/>
  <c r="J262" i="7"/>
  <c r="G262" i="7"/>
  <c r="J261" i="7"/>
  <c r="J260" i="7"/>
  <c r="J259" i="7"/>
  <c r="G259" i="7"/>
  <c r="J258" i="7"/>
  <c r="G258" i="7"/>
  <c r="J257" i="7"/>
  <c r="G257" i="7"/>
  <c r="J256" i="7"/>
  <c r="G256" i="7"/>
  <c r="J255" i="7"/>
  <c r="G254" i="7"/>
  <c r="J254" i="7" s="1"/>
  <c r="K252" i="7" s="1"/>
  <c r="J251" i="7"/>
  <c r="G251" i="7"/>
  <c r="J250" i="7"/>
  <c r="G250" i="7"/>
  <c r="J249" i="7"/>
  <c r="G249" i="7"/>
  <c r="K248" i="7"/>
  <c r="G247" i="7"/>
  <c r="J247" i="7" s="1"/>
  <c r="G246" i="7"/>
  <c r="J246" i="7" s="1"/>
  <c r="G245" i="7"/>
  <c r="J245" i="7" s="1"/>
  <c r="G244" i="7"/>
  <c r="J244" i="7" s="1"/>
  <c r="G243" i="7"/>
  <c r="J243" i="7" s="1"/>
  <c r="G242" i="7"/>
  <c r="J242" i="7" s="1"/>
  <c r="G241" i="7"/>
  <c r="J241" i="7" s="1"/>
  <c r="J240" i="7"/>
  <c r="G239" i="7"/>
  <c r="J239" i="7" s="1"/>
  <c r="G238" i="7"/>
  <c r="J238" i="7" s="1"/>
  <c r="G237" i="7"/>
  <c r="J237" i="7" s="1"/>
  <c r="G236" i="7"/>
  <c r="J236" i="7" s="1"/>
  <c r="G235" i="7"/>
  <c r="J235" i="7" s="1"/>
  <c r="J234" i="7"/>
  <c r="G233" i="7"/>
  <c r="J233" i="7" s="1"/>
  <c r="G232" i="7"/>
  <c r="J232" i="7" s="1"/>
  <c r="G231" i="7"/>
  <c r="J231" i="7" s="1"/>
  <c r="G230" i="7"/>
  <c r="J230" i="7" s="1"/>
  <c r="G229" i="7"/>
  <c r="J229" i="7" s="1"/>
  <c r="G228" i="7"/>
  <c r="J228" i="7" s="1"/>
  <c r="G227" i="7"/>
  <c r="J227" i="7" s="1"/>
  <c r="G226" i="7"/>
  <c r="J226" i="7" s="1"/>
  <c r="G225" i="7"/>
  <c r="J225" i="7" s="1"/>
  <c r="J224" i="7"/>
  <c r="J223" i="7"/>
  <c r="G223" i="7"/>
  <c r="J222" i="7"/>
  <c r="G222" i="7"/>
  <c r="J221" i="7"/>
  <c r="G221" i="7"/>
  <c r="J220" i="7"/>
  <c r="G220" i="7"/>
  <c r="J219" i="7"/>
  <c r="G219" i="7"/>
  <c r="J218" i="7"/>
  <c r="G218" i="7"/>
  <c r="J217" i="7"/>
  <c r="G217" i="7"/>
  <c r="J216" i="7"/>
  <c r="G216" i="7"/>
  <c r="J215" i="7"/>
  <c r="G215" i="7"/>
  <c r="J214" i="7"/>
  <c r="G214" i="7"/>
  <c r="J213" i="7"/>
  <c r="G213" i="7"/>
  <c r="J212" i="7"/>
  <c r="G212" i="7"/>
  <c r="J211" i="7"/>
  <c r="G211" i="7"/>
  <c r="J210" i="7"/>
  <c r="G210" i="7"/>
  <c r="J209" i="7"/>
  <c r="G209" i="7"/>
  <c r="J208" i="7"/>
  <c r="G208" i="7"/>
  <c r="J207" i="7"/>
  <c r="G207" i="7"/>
  <c r="J206" i="7"/>
  <c r="G206" i="7"/>
  <c r="J205" i="7"/>
  <c r="G205" i="7"/>
  <c r="J204" i="7"/>
  <c r="G204" i="7"/>
  <c r="J203" i="7"/>
  <c r="G203" i="7"/>
  <c r="J202" i="7"/>
  <c r="G202" i="7"/>
  <c r="J201" i="7"/>
  <c r="G201" i="7"/>
  <c r="J200" i="7"/>
  <c r="G200" i="7"/>
  <c r="J199" i="7"/>
  <c r="G199" i="7"/>
  <c r="J198" i="7"/>
  <c r="G198" i="7"/>
  <c r="J197" i="7"/>
  <c r="G197" i="7"/>
  <c r="J196" i="7"/>
  <c r="G196" i="7"/>
  <c r="J195" i="7"/>
  <c r="G195" i="7"/>
  <c r="J194" i="7"/>
  <c r="G194" i="7"/>
  <c r="J193" i="7"/>
  <c r="G193" i="7"/>
  <c r="J192" i="7"/>
  <c r="G192" i="7"/>
  <c r="J191" i="7"/>
  <c r="G191" i="7"/>
  <c r="J190" i="7"/>
  <c r="G190" i="7"/>
  <c r="J189" i="7"/>
  <c r="G189" i="7"/>
  <c r="J188" i="7"/>
  <c r="G188" i="7"/>
  <c r="J187" i="7"/>
  <c r="G187" i="7"/>
  <c r="J186" i="7"/>
  <c r="G186" i="7"/>
  <c r="J185" i="7"/>
  <c r="G185" i="7"/>
  <c r="J184" i="7"/>
  <c r="G184" i="7"/>
  <c r="J183" i="7"/>
  <c r="G183" i="7"/>
  <c r="J182" i="7"/>
  <c r="G182" i="7"/>
  <c r="J181" i="7"/>
  <c r="G181" i="7"/>
  <c r="J180" i="7"/>
  <c r="G180" i="7"/>
  <c r="J179" i="7"/>
  <c r="G179" i="7"/>
  <c r="J178" i="7"/>
  <c r="G178" i="7"/>
  <c r="J177" i="7"/>
  <c r="G177" i="7"/>
  <c r="J176" i="7"/>
  <c r="G176" i="7"/>
  <c r="G174" i="7"/>
  <c r="J174" i="7" s="1"/>
  <c r="G173" i="7"/>
  <c r="J173" i="7" s="1"/>
  <c r="G172" i="7"/>
  <c r="J172" i="7" s="1"/>
  <c r="G171" i="7"/>
  <c r="J171" i="7" s="1"/>
  <c r="G170" i="7"/>
  <c r="J170" i="7" s="1"/>
  <c r="G169" i="7"/>
  <c r="J169" i="7" s="1"/>
  <c r="G168" i="7"/>
  <c r="J168" i="7" s="1"/>
  <c r="G167" i="7"/>
  <c r="J167" i="7" s="1"/>
  <c r="G166" i="7"/>
  <c r="J166" i="7" s="1"/>
  <c r="J164" i="7"/>
  <c r="G164" i="7"/>
  <c r="J163" i="7"/>
  <c r="G163" i="7"/>
  <c r="J162" i="7"/>
  <c r="G162" i="7"/>
  <c r="K161" i="7"/>
  <c r="J158" i="7"/>
  <c r="G158" i="7"/>
  <c r="J157" i="7"/>
  <c r="G157" i="7"/>
  <c r="J156" i="7"/>
  <c r="G156" i="7"/>
  <c r="J155" i="7"/>
  <c r="G155" i="7"/>
  <c r="J154" i="7"/>
  <c r="G154" i="7"/>
  <c r="K153" i="7"/>
  <c r="G152" i="7"/>
  <c r="J152" i="7" s="1"/>
  <c r="J151" i="7"/>
  <c r="J150" i="7"/>
  <c r="K149" i="7" s="1"/>
  <c r="G149" i="7"/>
  <c r="G148" i="7"/>
  <c r="J148" i="7" s="1"/>
  <c r="G147" i="7"/>
  <c r="J147" i="7" s="1"/>
  <c r="G146" i="7"/>
  <c r="J146" i="7" s="1"/>
  <c r="G145" i="7"/>
  <c r="J145" i="7" s="1"/>
  <c r="G144" i="7"/>
  <c r="J144" i="7" s="1"/>
  <c r="G143" i="7"/>
  <c r="J143" i="7" s="1"/>
  <c r="G142" i="7"/>
  <c r="J142" i="7" s="1"/>
  <c r="G141" i="7"/>
  <c r="J141" i="7" s="1"/>
  <c r="J138" i="7"/>
  <c r="G138" i="7"/>
  <c r="J137" i="7"/>
  <c r="G137" i="7"/>
  <c r="J136" i="7"/>
  <c r="G136" i="7"/>
  <c r="J135" i="7"/>
  <c r="G135" i="7"/>
  <c r="J134" i="7"/>
  <c r="G134" i="7"/>
  <c r="J133" i="7"/>
  <c r="G133" i="7"/>
  <c r="J132" i="7"/>
  <c r="G132" i="7"/>
  <c r="K131" i="7"/>
  <c r="G130" i="7"/>
  <c r="J130" i="7" s="1"/>
  <c r="G129" i="7"/>
  <c r="J129" i="7" s="1"/>
  <c r="G128" i="7"/>
  <c r="J128" i="7" s="1"/>
  <c r="G127" i="7"/>
  <c r="J127" i="7" s="1"/>
  <c r="G126" i="7"/>
  <c r="J126" i="7" s="1"/>
  <c r="J124" i="7"/>
  <c r="G124" i="7"/>
  <c r="J123" i="7"/>
  <c r="G123" i="7"/>
  <c r="J122" i="7"/>
  <c r="G122" i="7"/>
  <c r="J121" i="7"/>
  <c r="G121" i="7"/>
  <c r="J120" i="7"/>
  <c r="G120" i="7"/>
  <c r="J119" i="7"/>
  <c r="G119" i="7"/>
  <c r="J118" i="7"/>
  <c r="G118" i="7"/>
  <c r="J117" i="7"/>
  <c r="G117" i="7"/>
  <c r="J116" i="7"/>
  <c r="G116" i="7"/>
  <c r="J115" i="7"/>
  <c r="G115" i="7"/>
  <c r="J114" i="7"/>
  <c r="G114" i="7"/>
  <c r="J113" i="7"/>
  <c r="G113" i="7"/>
  <c r="J112" i="7"/>
  <c r="G112" i="7"/>
  <c r="J111" i="7"/>
  <c r="G111" i="7"/>
  <c r="J110" i="7"/>
  <c r="G110" i="7"/>
  <c r="J109" i="7"/>
  <c r="G109" i="7"/>
  <c r="J108" i="7"/>
  <c r="G108" i="7"/>
  <c r="J107" i="7"/>
  <c r="G107" i="7"/>
  <c r="J106" i="7"/>
  <c r="G106" i="7"/>
  <c r="J105" i="7"/>
  <c r="G105" i="7"/>
  <c r="J104" i="7"/>
  <c r="G104" i="7"/>
  <c r="J103" i="7"/>
  <c r="G103" i="7"/>
  <c r="J102" i="7"/>
  <c r="G102" i="7"/>
  <c r="J101" i="7"/>
  <c r="G101" i="7"/>
  <c r="J100" i="7"/>
  <c r="G100" i="7"/>
  <c r="J99" i="7"/>
  <c r="G99" i="7"/>
  <c r="J98" i="7"/>
  <c r="G98" i="7"/>
  <c r="J97" i="7"/>
  <c r="G97" i="7"/>
  <c r="J96" i="7"/>
  <c r="G96" i="7"/>
  <c r="J95" i="7"/>
  <c r="G95" i="7"/>
  <c r="J94" i="7"/>
  <c r="G94" i="7"/>
  <c r="J93" i="7"/>
  <c r="G93" i="7"/>
  <c r="J92" i="7"/>
  <c r="G92" i="7"/>
  <c r="J91" i="7"/>
  <c r="G91" i="7"/>
  <c r="J90" i="7"/>
  <c r="G90" i="7"/>
  <c r="J89" i="7"/>
  <c r="G89" i="7"/>
  <c r="J88" i="7"/>
  <c r="G88" i="7"/>
  <c r="J87" i="7"/>
  <c r="G87" i="7"/>
  <c r="J86" i="7"/>
  <c r="G86" i="7"/>
  <c r="J85" i="7"/>
  <c r="G85" i="7"/>
  <c r="K84" i="7"/>
  <c r="G83" i="7"/>
  <c r="J83" i="7" s="1"/>
  <c r="G82" i="7"/>
  <c r="J82" i="7" s="1"/>
  <c r="G81" i="7"/>
  <c r="J81" i="7" s="1"/>
  <c r="G80" i="7"/>
  <c r="J80" i="7" s="1"/>
  <c r="G79" i="7"/>
  <c r="J79" i="7" s="1"/>
  <c r="G78" i="7"/>
  <c r="J78" i="7" s="1"/>
  <c r="G77" i="7"/>
  <c r="J77" i="7" s="1"/>
  <c r="G76" i="7"/>
  <c r="J76" i="7" s="1"/>
  <c r="G75" i="7"/>
  <c r="J75" i="7" s="1"/>
  <c r="G74" i="7"/>
  <c r="J74" i="7" s="1"/>
  <c r="K73" i="7" s="1"/>
  <c r="J72" i="7"/>
  <c r="G72" i="7"/>
  <c r="J71" i="7"/>
  <c r="G71" i="7"/>
  <c r="J70" i="7"/>
  <c r="G70" i="7"/>
  <c r="K69" i="7"/>
  <c r="J66" i="7"/>
  <c r="G66" i="7"/>
  <c r="J65" i="7"/>
  <c r="G65" i="7"/>
  <c r="K64" i="7"/>
  <c r="G63" i="7"/>
  <c r="J63" i="7" s="1"/>
  <c r="G62" i="7"/>
  <c r="J62" i="7" s="1"/>
  <c r="G61" i="7"/>
  <c r="J61" i="7" s="1"/>
  <c r="G60" i="7"/>
  <c r="J60" i="7" s="1"/>
  <c r="G59" i="7"/>
  <c r="J59" i="7" s="1"/>
  <c r="G58" i="7"/>
  <c r="J58" i="7" s="1"/>
  <c r="G57" i="7"/>
  <c r="J57" i="7" s="1"/>
  <c r="J54" i="7"/>
  <c r="G54" i="7"/>
  <c r="K53" i="7"/>
  <c r="G52" i="7"/>
  <c r="J52" i="7" s="1"/>
  <c r="G51" i="7"/>
  <c r="J51" i="7" s="1"/>
  <c r="G50" i="7"/>
  <c r="J50" i="7" s="1"/>
  <c r="G49" i="7"/>
  <c r="J49" i="7" s="1"/>
  <c r="G48" i="7"/>
  <c r="J48" i="7" s="1"/>
  <c r="G47" i="7"/>
  <c r="J47" i="7" s="1"/>
  <c r="G46" i="7"/>
  <c r="J46" i="7" s="1"/>
  <c r="G45" i="7"/>
  <c r="G44" i="7"/>
  <c r="J44" i="7" s="1"/>
  <c r="G43" i="7"/>
  <c r="J43" i="7" s="1"/>
  <c r="G42" i="7"/>
  <c r="J42" i="7" s="1"/>
  <c r="J40" i="7"/>
  <c r="G40" i="7"/>
  <c r="J39" i="7"/>
  <c r="G39" i="7"/>
  <c r="J38" i="7"/>
  <c r="G38" i="7"/>
  <c r="J37" i="7"/>
  <c r="G37" i="7"/>
  <c r="J36" i="7"/>
  <c r="G36" i="7"/>
  <c r="J35" i="7"/>
  <c r="G35" i="7"/>
  <c r="J34" i="7"/>
  <c r="G34" i="7"/>
  <c r="J33" i="7"/>
  <c r="G33" i="7"/>
  <c r="J32" i="7"/>
  <c r="G32" i="7"/>
  <c r="G31" i="7"/>
  <c r="J30" i="7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  <c r="K21" i="7"/>
  <c r="G20" i="7"/>
  <c r="J20" i="7" s="1"/>
  <c r="G19" i="7"/>
  <c r="J19" i="7" s="1"/>
  <c r="G18" i="7"/>
  <c r="J18" i="7" s="1"/>
  <c r="G17" i="7"/>
  <c r="J17" i="7" s="1"/>
  <c r="K16" i="7" s="1"/>
  <c r="J15" i="7"/>
  <c r="G15" i="7"/>
  <c r="J14" i="7"/>
  <c r="G14" i="7"/>
  <c r="J13" i="7"/>
  <c r="G13" i="7"/>
  <c r="K12" i="7"/>
  <c r="G8" i="7"/>
  <c r="J8" i="7" s="1"/>
  <c r="G7" i="7"/>
  <c r="J7" i="7" s="1"/>
  <c r="J5" i="7"/>
  <c r="G5" i="7"/>
  <c r="K4" i="7"/>
  <c r="V876" i="1" l="1"/>
  <c r="U873" i="1"/>
  <c r="U849" i="1" s="1"/>
  <c r="U847" i="1" s="1"/>
  <c r="U766" i="1" s="1"/>
  <c r="V850" i="1"/>
  <c r="W853" i="1"/>
  <c r="K270" i="7"/>
  <c r="K6" i="7"/>
  <c r="K3" i="7" s="1"/>
  <c r="K41" i="7"/>
  <c r="K11" i="7" s="1"/>
  <c r="K10" i="7" s="1"/>
  <c r="K45" i="7"/>
  <c r="K55" i="7"/>
  <c r="K125" i="7"/>
  <c r="K68" i="7" s="1"/>
  <c r="K139" i="7"/>
  <c r="K165" i="7"/>
  <c r="K160" i="7" s="1"/>
  <c r="K175" i="7"/>
  <c r="K234" i="7"/>
  <c r="K240" i="7"/>
  <c r="K263" i="7"/>
  <c r="K296" i="7"/>
  <c r="K322" i="7"/>
  <c r="K348" i="7"/>
  <c r="K394" i="7"/>
  <c r="K374" i="7" s="1"/>
  <c r="K409" i="7"/>
  <c r="K418" i="7"/>
  <c r="K414" i="7" s="1"/>
  <c r="K437" i="7"/>
  <c r="K436" i="7" s="1"/>
  <c r="K458" i="7"/>
  <c r="K476" i="7"/>
  <c r="K495" i="7"/>
  <c r="K480" i="7" s="1"/>
  <c r="K524" i="7"/>
  <c r="W876" i="1" l="1"/>
  <c r="V873" i="1"/>
  <c r="V849" i="1" s="1"/>
  <c r="V847" i="1" s="1"/>
  <c r="V766" i="1" s="1"/>
  <c r="W850" i="1"/>
  <c r="X853" i="1"/>
  <c r="X850" i="1" s="1"/>
  <c r="K413" i="7"/>
  <c r="W873" i="1" l="1"/>
  <c r="W849" i="1" s="1"/>
  <c r="X876" i="1"/>
  <c r="X873" i="1" s="1"/>
  <c r="F247" i="1"/>
  <c r="F251" i="1"/>
  <c r="F221" i="1"/>
  <c r="F243" i="1"/>
  <c r="F241" i="1"/>
  <c r="F231" i="1"/>
  <c r="W847" i="1" l="1"/>
  <c r="W766" i="1" s="1"/>
  <c r="X766" i="1" s="1"/>
  <c r="X849" i="1"/>
  <c r="X847" i="1" s="1"/>
  <c r="F220" i="1"/>
  <c r="N206" i="1"/>
  <c r="N209" i="1"/>
  <c r="N208" i="1"/>
  <c r="M207" i="1"/>
  <c r="L207" i="1"/>
  <c r="K207" i="1"/>
  <c r="J207" i="1"/>
  <c r="I207" i="1"/>
  <c r="H207" i="1"/>
  <c r="G207" i="1"/>
  <c r="F207" i="1"/>
  <c r="E207" i="1"/>
  <c r="D207" i="1"/>
  <c r="B207" i="1"/>
  <c r="N207" i="1" l="1"/>
  <c r="B377" i="1" l="1"/>
  <c r="B381" i="1"/>
  <c r="B387" i="1"/>
  <c r="B389" i="1"/>
  <c r="B391" i="1"/>
  <c r="B394" i="1"/>
  <c r="B398" i="1"/>
  <c r="B405" i="1"/>
  <c r="B411" i="1"/>
  <c r="B414" i="1"/>
  <c r="B417" i="1"/>
  <c r="B421" i="1"/>
  <c r="B426" i="1"/>
  <c r="B410" i="1" l="1"/>
  <c r="B404" i="1" s="1"/>
  <c r="B403" i="1" s="1"/>
  <c r="B402" i="1" s="1"/>
  <c r="B393" i="1"/>
  <c r="E452" i="1"/>
  <c r="D448" i="1"/>
  <c r="N454" i="1" l="1"/>
  <c r="N453" i="1"/>
  <c r="M452" i="1"/>
  <c r="L452" i="1"/>
  <c r="K452" i="1"/>
  <c r="J452" i="1"/>
  <c r="I452" i="1"/>
  <c r="H452" i="1"/>
  <c r="G452" i="1"/>
  <c r="F452" i="1"/>
  <c r="D452" i="1"/>
  <c r="N450" i="1"/>
  <c r="N449" i="1"/>
  <c r="M448" i="1"/>
  <c r="L448" i="1"/>
  <c r="K448" i="1"/>
  <c r="I448" i="1"/>
  <c r="H448" i="1"/>
  <c r="G448" i="1"/>
  <c r="F448" i="1"/>
  <c r="N447" i="1"/>
  <c r="N446" i="1"/>
  <c r="N445" i="1"/>
  <c r="N443" i="1"/>
  <c r="N442" i="1"/>
  <c r="N440" i="1"/>
  <c r="M439" i="1"/>
  <c r="M438" i="1"/>
  <c r="J448" i="1" l="1"/>
  <c r="N448" i="1"/>
  <c r="N452" i="1"/>
  <c r="N438" i="1"/>
  <c r="N441" i="1"/>
  <c r="N444" i="1"/>
  <c r="N439" i="1" l="1"/>
  <c r="N432" i="1"/>
  <c r="N431" i="1"/>
  <c r="N430" i="1"/>
  <c r="N429" i="1"/>
  <c r="N428" i="1"/>
  <c r="N427" i="1"/>
  <c r="M426" i="1"/>
  <c r="L426" i="1"/>
  <c r="K426" i="1"/>
  <c r="J426" i="1"/>
  <c r="I426" i="1"/>
  <c r="H426" i="1"/>
  <c r="G426" i="1"/>
  <c r="F426" i="1"/>
  <c r="E426" i="1"/>
  <c r="D426" i="1"/>
  <c r="N425" i="1"/>
  <c r="N424" i="1"/>
  <c r="N423" i="1"/>
  <c r="N422" i="1"/>
  <c r="M421" i="1"/>
  <c r="L421" i="1"/>
  <c r="K421" i="1"/>
  <c r="J421" i="1"/>
  <c r="I421" i="1"/>
  <c r="H421" i="1"/>
  <c r="G421" i="1"/>
  <c r="F421" i="1"/>
  <c r="E421" i="1"/>
  <c r="D421" i="1"/>
  <c r="N420" i="1"/>
  <c r="N419" i="1"/>
  <c r="N418" i="1"/>
  <c r="M417" i="1"/>
  <c r="L417" i="1"/>
  <c r="J417" i="1"/>
  <c r="I417" i="1"/>
  <c r="H417" i="1"/>
  <c r="G417" i="1"/>
  <c r="F417" i="1"/>
  <c r="E417" i="1"/>
  <c r="D417" i="1"/>
  <c r="N416" i="1"/>
  <c r="N415" i="1"/>
  <c r="M414" i="1"/>
  <c r="L414" i="1"/>
  <c r="K414" i="1"/>
  <c r="J414" i="1"/>
  <c r="I414" i="1"/>
  <c r="H414" i="1"/>
  <c r="G414" i="1"/>
  <c r="F414" i="1"/>
  <c r="E414" i="1"/>
  <c r="D414" i="1"/>
  <c r="N413" i="1"/>
  <c r="N412" i="1"/>
  <c r="M411" i="1"/>
  <c r="L411" i="1"/>
  <c r="K411" i="1"/>
  <c r="J411" i="1"/>
  <c r="I411" i="1"/>
  <c r="H411" i="1"/>
  <c r="G411" i="1"/>
  <c r="F411" i="1"/>
  <c r="E411" i="1"/>
  <c r="D411" i="1"/>
  <c r="N409" i="1"/>
  <c r="N408" i="1"/>
  <c r="N407" i="1"/>
  <c r="N406" i="1"/>
  <c r="M405" i="1"/>
  <c r="L405" i="1"/>
  <c r="K405" i="1"/>
  <c r="J405" i="1"/>
  <c r="I405" i="1"/>
  <c r="H405" i="1"/>
  <c r="G405" i="1"/>
  <c r="F405" i="1"/>
  <c r="E405" i="1"/>
  <c r="D405" i="1"/>
  <c r="N401" i="1"/>
  <c r="N400" i="1"/>
  <c r="N399" i="1"/>
  <c r="M398" i="1"/>
  <c r="L398" i="1"/>
  <c r="K398" i="1"/>
  <c r="J398" i="1"/>
  <c r="I398" i="1"/>
  <c r="H398" i="1"/>
  <c r="G398" i="1"/>
  <c r="F398" i="1"/>
  <c r="E398" i="1"/>
  <c r="D398" i="1"/>
  <c r="N397" i="1"/>
  <c r="N396" i="1"/>
  <c r="N395" i="1"/>
  <c r="M394" i="1"/>
  <c r="L394" i="1"/>
  <c r="K394" i="1"/>
  <c r="J394" i="1"/>
  <c r="I394" i="1"/>
  <c r="H394" i="1"/>
  <c r="G394" i="1"/>
  <c r="F394" i="1"/>
  <c r="E394" i="1"/>
  <c r="D394" i="1"/>
  <c r="N392" i="1"/>
  <c r="N391" i="1" s="1"/>
  <c r="M391" i="1"/>
  <c r="L391" i="1"/>
  <c r="K391" i="1"/>
  <c r="J391" i="1"/>
  <c r="I391" i="1"/>
  <c r="H391" i="1"/>
  <c r="G391" i="1"/>
  <c r="F391" i="1"/>
  <c r="E391" i="1"/>
  <c r="D391" i="1"/>
  <c r="N390" i="1"/>
  <c r="N389" i="1" s="1"/>
  <c r="M389" i="1"/>
  <c r="L389" i="1"/>
  <c r="K389" i="1"/>
  <c r="J389" i="1"/>
  <c r="I389" i="1"/>
  <c r="H389" i="1"/>
  <c r="G389" i="1"/>
  <c r="F389" i="1"/>
  <c r="E389" i="1"/>
  <c r="D389" i="1"/>
  <c r="N388" i="1"/>
  <c r="N387" i="1" s="1"/>
  <c r="M387" i="1"/>
  <c r="L387" i="1"/>
  <c r="K387" i="1"/>
  <c r="J387" i="1"/>
  <c r="I387" i="1"/>
  <c r="H387" i="1"/>
  <c r="G387" i="1"/>
  <c r="F387" i="1"/>
  <c r="E387" i="1"/>
  <c r="D387" i="1"/>
  <c r="N386" i="1"/>
  <c r="N385" i="1"/>
  <c r="N384" i="1"/>
  <c r="N383" i="1"/>
  <c r="N382" i="1"/>
  <c r="M381" i="1"/>
  <c r="L381" i="1"/>
  <c r="K381" i="1"/>
  <c r="J381" i="1"/>
  <c r="I381" i="1"/>
  <c r="H381" i="1"/>
  <c r="G381" i="1"/>
  <c r="F381" i="1"/>
  <c r="E381" i="1"/>
  <c r="D381" i="1"/>
  <c r="N380" i="1"/>
  <c r="N379" i="1"/>
  <c r="N378" i="1"/>
  <c r="M377" i="1"/>
  <c r="L377" i="1"/>
  <c r="K377" i="1"/>
  <c r="J377" i="1"/>
  <c r="I377" i="1"/>
  <c r="H377" i="1"/>
  <c r="G377" i="1"/>
  <c r="F377" i="1"/>
  <c r="E377" i="1"/>
  <c r="D377" i="1"/>
  <c r="E410" i="1" l="1"/>
  <c r="E404" i="1" s="1"/>
  <c r="E403" i="1" s="1"/>
  <c r="E402" i="1" s="1"/>
  <c r="G410" i="1"/>
  <c r="G404" i="1" s="1"/>
  <c r="G403" i="1" s="1"/>
  <c r="G402" i="1" s="1"/>
  <c r="I410" i="1"/>
  <c r="I404" i="1" s="1"/>
  <c r="I403" i="1" s="1"/>
  <c r="I402" i="1" s="1"/>
  <c r="K410" i="1"/>
  <c r="K404" i="1" s="1"/>
  <c r="K403" i="1" s="1"/>
  <c r="K402" i="1" s="1"/>
  <c r="F410" i="1"/>
  <c r="F404" i="1" s="1"/>
  <c r="F403" i="1" s="1"/>
  <c r="F402" i="1" s="1"/>
  <c r="D410" i="1"/>
  <c r="H410" i="1"/>
  <c r="J410" i="1"/>
  <c r="J404" i="1" s="1"/>
  <c r="J403" i="1" s="1"/>
  <c r="J402" i="1" s="1"/>
  <c r="L410" i="1"/>
  <c r="L404" i="1" s="1"/>
  <c r="L403" i="1" s="1"/>
  <c r="L402" i="1" s="1"/>
  <c r="D404" i="1"/>
  <c r="D403" i="1" s="1"/>
  <c r="D402" i="1" s="1"/>
  <c r="H404" i="1"/>
  <c r="H403" i="1" s="1"/>
  <c r="H402" i="1" s="1"/>
  <c r="M393" i="1"/>
  <c r="E393" i="1"/>
  <c r="G393" i="1"/>
  <c r="I393" i="1"/>
  <c r="K393" i="1"/>
  <c r="N398" i="1"/>
  <c r="M410" i="1"/>
  <c r="M404" i="1" s="1"/>
  <c r="M403" i="1" s="1"/>
  <c r="M402" i="1" s="1"/>
  <c r="N417" i="1"/>
  <c r="D393" i="1"/>
  <c r="F393" i="1"/>
  <c r="H393" i="1"/>
  <c r="J393" i="1"/>
  <c r="L393" i="1"/>
  <c r="N394" i="1"/>
  <c r="N377" i="1"/>
  <c r="N381" i="1"/>
  <c r="N405" i="1"/>
  <c r="N411" i="1"/>
  <c r="N414" i="1"/>
  <c r="N421" i="1"/>
  <c r="N426" i="1"/>
  <c r="N410" i="1" l="1"/>
  <c r="N393" i="1"/>
  <c r="N404" i="1"/>
  <c r="N402" i="1"/>
  <c r="N403" i="1"/>
  <c r="L262" i="1"/>
  <c r="O371" i="1"/>
  <c r="O370" i="1"/>
  <c r="O369" i="1"/>
  <c r="O368" i="1"/>
  <c r="O367" i="1"/>
  <c r="N366" i="1"/>
  <c r="M366" i="1"/>
  <c r="L366" i="1"/>
  <c r="K366" i="1"/>
  <c r="J366" i="1"/>
  <c r="I366" i="1"/>
  <c r="H366" i="1"/>
  <c r="G366" i="1"/>
  <c r="F366" i="1"/>
  <c r="E366" i="1"/>
  <c r="D366" i="1"/>
  <c r="O364" i="1"/>
  <c r="O363" i="1"/>
  <c r="O362" i="1"/>
  <c r="O361" i="1"/>
  <c r="O360" i="1"/>
  <c r="O359" i="1"/>
  <c r="O358" i="1"/>
  <c r="N357" i="1"/>
  <c r="M357" i="1"/>
  <c r="L357" i="1"/>
  <c r="K357" i="1"/>
  <c r="J357" i="1"/>
  <c r="I357" i="1"/>
  <c r="H357" i="1"/>
  <c r="G357" i="1"/>
  <c r="F357" i="1"/>
  <c r="E357" i="1"/>
  <c r="D357" i="1"/>
  <c r="O356" i="1"/>
  <c r="N355" i="1"/>
  <c r="M355" i="1"/>
  <c r="L355" i="1"/>
  <c r="K355" i="1"/>
  <c r="J355" i="1"/>
  <c r="I355" i="1"/>
  <c r="H355" i="1"/>
  <c r="G355" i="1"/>
  <c r="F355" i="1"/>
  <c r="E355" i="1"/>
  <c r="D355" i="1"/>
  <c r="O353" i="1"/>
  <c r="O352" i="1" s="1"/>
  <c r="N352" i="1"/>
  <c r="M352" i="1"/>
  <c r="L352" i="1"/>
  <c r="K352" i="1"/>
  <c r="J352" i="1"/>
  <c r="I352" i="1"/>
  <c r="H352" i="1"/>
  <c r="G352" i="1"/>
  <c r="F352" i="1"/>
  <c r="E352" i="1"/>
  <c r="D352" i="1"/>
  <c r="O350" i="1"/>
  <c r="O349" i="1"/>
  <c r="O348" i="1"/>
  <c r="O347" i="1"/>
  <c r="O346" i="1"/>
  <c r="O345" i="1"/>
  <c r="O344" i="1"/>
  <c r="O343" i="1"/>
  <c r="O342" i="1"/>
  <c r="N341" i="1"/>
  <c r="M341" i="1"/>
  <c r="L341" i="1"/>
  <c r="K341" i="1"/>
  <c r="J341" i="1"/>
  <c r="I341" i="1"/>
  <c r="H341" i="1"/>
  <c r="G341" i="1"/>
  <c r="F341" i="1"/>
  <c r="E341" i="1"/>
  <c r="D341" i="1"/>
  <c r="O339" i="1"/>
  <c r="O338" i="1"/>
  <c r="N337" i="1"/>
  <c r="M337" i="1"/>
  <c r="L337" i="1"/>
  <c r="K337" i="1"/>
  <c r="J337" i="1"/>
  <c r="I337" i="1"/>
  <c r="H337" i="1"/>
  <c r="G337" i="1"/>
  <c r="F337" i="1"/>
  <c r="E337" i="1"/>
  <c r="D337" i="1"/>
  <c r="O335" i="1"/>
  <c r="O334" i="1"/>
  <c r="O333" i="1"/>
  <c r="O332" i="1"/>
  <c r="N331" i="1"/>
  <c r="M331" i="1"/>
  <c r="L331" i="1"/>
  <c r="K331" i="1"/>
  <c r="J331" i="1"/>
  <c r="I331" i="1"/>
  <c r="H331" i="1"/>
  <c r="G331" i="1"/>
  <c r="F331" i="1"/>
  <c r="E331" i="1"/>
  <c r="D331" i="1"/>
  <c r="O328" i="1"/>
  <c r="O327" i="1"/>
  <c r="O326" i="1" s="1"/>
  <c r="N326" i="1"/>
  <c r="M326" i="1"/>
  <c r="L326" i="1"/>
  <c r="K326" i="1"/>
  <c r="J326" i="1"/>
  <c r="I326" i="1"/>
  <c r="H326" i="1"/>
  <c r="G326" i="1"/>
  <c r="F326" i="1"/>
  <c r="E326" i="1"/>
  <c r="D326" i="1"/>
  <c r="O324" i="1"/>
  <c r="O323" i="1"/>
  <c r="O322" i="1"/>
  <c r="O321" i="1"/>
  <c r="N320" i="1"/>
  <c r="M320" i="1"/>
  <c r="L320" i="1"/>
  <c r="K320" i="1"/>
  <c r="J320" i="1"/>
  <c r="I320" i="1"/>
  <c r="H320" i="1"/>
  <c r="G320" i="1"/>
  <c r="F320" i="1"/>
  <c r="E320" i="1"/>
  <c r="D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N287" i="1"/>
  <c r="M287" i="1"/>
  <c r="L287" i="1"/>
  <c r="K287" i="1"/>
  <c r="J287" i="1"/>
  <c r="I287" i="1"/>
  <c r="H287" i="1"/>
  <c r="G287" i="1"/>
  <c r="F287" i="1"/>
  <c r="E287" i="1"/>
  <c r="D287" i="1"/>
  <c r="O286" i="1"/>
  <c r="O285" i="1"/>
  <c r="O284" i="1"/>
  <c r="O283" i="1"/>
  <c r="O282" i="1"/>
  <c r="O281" i="1"/>
  <c r="O280" i="1"/>
  <c r="N279" i="1"/>
  <c r="M279" i="1"/>
  <c r="L279" i="1"/>
  <c r="K279" i="1"/>
  <c r="J279" i="1"/>
  <c r="I279" i="1"/>
  <c r="H279" i="1"/>
  <c r="G279" i="1"/>
  <c r="F279" i="1"/>
  <c r="E279" i="1"/>
  <c r="D279" i="1"/>
  <c r="O277" i="1"/>
  <c r="O276" i="1"/>
  <c r="O275" i="1"/>
  <c r="O274" i="1"/>
  <c r="O273" i="1"/>
  <c r="O272" i="1"/>
  <c r="O271" i="1"/>
  <c r="N270" i="1"/>
  <c r="M270" i="1"/>
  <c r="L270" i="1"/>
  <c r="K270" i="1"/>
  <c r="J270" i="1"/>
  <c r="I270" i="1"/>
  <c r="H270" i="1"/>
  <c r="G270" i="1"/>
  <c r="F270" i="1"/>
  <c r="E270" i="1"/>
  <c r="D270" i="1"/>
  <c r="O269" i="1"/>
  <c r="O268" i="1"/>
  <c r="O267" i="1"/>
  <c r="O266" i="1"/>
  <c r="O265" i="1" s="1"/>
  <c r="N265" i="1"/>
  <c r="M265" i="1"/>
  <c r="L265" i="1"/>
  <c r="K265" i="1"/>
  <c r="J265" i="1"/>
  <c r="I265" i="1"/>
  <c r="H265" i="1"/>
  <c r="G265" i="1"/>
  <c r="F265" i="1"/>
  <c r="E265" i="1"/>
  <c r="D265" i="1"/>
  <c r="O264" i="1"/>
  <c r="O263" i="1"/>
  <c r="N262" i="1"/>
  <c r="M262" i="1"/>
  <c r="K262" i="1"/>
  <c r="J262" i="1"/>
  <c r="I262" i="1"/>
  <c r="H262" i="1"/>
  <c r="G262" i="1"/>
  <c r="F262" i="1"/>
  <c r="E262" i="1"/>
  <c r="D262" i="1"/>
  <c r="O341" i="1" l="1"/>
  <c r="O331" i="1"/>
  <c r="O337" i="1"/>
  <c r="O262" i="1"/>
  <c r="O279" i="1"/>
  <c r="O287" i="1"/>
  <c r="F336" i="1"/>
  <c r="J336" i="1"/>
  <c r="N336" i="1"/>
  <c r="N330" i="1" s="1"/>
  <c r="N261" i="1" s="1"/>
  <c r="J330" i="1"/>
  <c r="J261" i="1" s="1"/>
  <c r="F330" i="1"/>
  <c r="F261" i="1" s="1"/>
  <c r="D336" i="1"/>
  <c r="D330" i="1" s="1"/>
  <c r="D261" i="1" s="1"/>
  <c r="H336" i="1"/>
  <c r="H330" i="1" s="1"/>
  <c r="H261" i="1" s="1"/>
  <c r="L336" i="1"/>
  <c r="L330" i="1" s="1"/>
  <c r="L261" i="1" s="1"/>
  <c r="O357" i="1"/>
  <c r="O270" i="1"/>
  <c r="O320" i="1"/>
  <c r="E336" i="1"/>
  <c r="E330" i="1" s="1"/>
  <c r="E261" i="1" s="1"/>
  <c r="G336" i="1"/>
  <c r="G330" i="1" s="1"/>
  <c r="G261" i="1" s="1"/>
  <c r="I336" i="1"/>
  <c r="I330" i="1" s="1"/>
  <c r="I261" i="1" s="1"/>
  <c r="K336" i="1"/>
  <c r="K330" i="1" s="1"/>
  <c r="K261" i="1" s="1"/>
  <c r="M336" i="1"/>
  <c r="M330" i="1" s="1"/>
  <c r="M261" i="1" s="1"/>
  <c r="O355" i="1"/>
  <c r="O336" i="1" l="1"/>
  <c r="O330" i="1"/>
  <c r="O261" i="1"/>
  <c r="T170" i="1" l="1"/>
  <c r="T169" i="1"/>
  <c r="T24" i="1"/>
  <c r="T19" i="1"/>
  <c r="E183" i="1" l="1"/>
  <c r="G192" i="1" l="1"/>
  <c r="G191" i="1"/>
  <c r="G42" i="1"/>
  <c r="T161" i="1" l="1"/>
  <c r="T168" i="1"/>
  <c r="Q167" i="1"/>
  <c r="T167" i="1" s="1"/>
  <c r="S161" i="1" l="1"/>
  <c r="R161" i="1"/>
  <c r="Q161" i="1"/>
  <c r="P161" i="1"/>
  <c r="O161" i="1"/>
  <c r="N161" i="1"/>
  <c r="M161" i="1"/>
  <c r="L161" i="1"/>
  <c r="K161" i="1"/>
  <c r="J161" i="1"/>
  <c r="I161" i="1"/>
  <c r="H161" i="1"/>
  <c r="S153" i="1"/>
  <c r="R153" i="1"/>
  <c r="Q153" i="1"/>
  <c r="P153" i="1"/>
  <c r="O153" i="1"/>
  <c r="N153" i="1" l="1"/>
  <c r="M153" i="1"/>
  <c r="L153" i="1"/>
  <c r="K153" i="1"/>
  <c r="J153" i="1"/>
  <c r="I153" i="1"/>
  <c r="H153" i="1"/>
  <c r="E167" i="1"/>
  <c r="E161" i="1"/>
  <c r="E153" i="1"/>
  <c r="E125" i="1"/>
  <c r="E120" i="1"/>
  <c r="G170" i="1" l="1"/>
  <c r="G158" i="1"/>
  <c r="G157" i="1"/>
  <c r="G155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 l="1"/>
  <c r="G163" i="1"/>
  <c r="G162" i="1"/>
  <c r="G160" i="1"/>
  <c r="G124" i="1"/>
  <c r="G123" i="1"/>
  <c r="G122" i="1"/>
  <c r="T121" i="1"/>
  <c r="T120" i="1" s="1"/>
  <c r="G121" i="1"/>
  <c r="E28" i="1"/>
  <c r="G190" i="1"/>
  <c r="G189" i="1"/>
  <c r="G188" i="1"/>
  <c r="G187" i="1"/>
  <c r="G186" i="1"/>
  <c r="G185" i="1"/>
  <c r="G184" i="1"/>
  <c r="G159" i="1"/>
  <c r="G156" i="1"/>
  <c r="G154" i="1"/>
  <c r="G169" i="1"/>
  <c r="G168" i="1"/>
  <c r="G25" i="1"/>
  <c r="G23" i="1"/>
  <c r="G22" i="1"/>
  <c r="G21" i="1"/>
  <c r="G20" i="1"/>
  <c r="G18" i="1"/>
  <c r="G17" i="1"/>
  <c r="G16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20" i="1" l="1"/>
  <c r="G183" i="1"/>
  <c r="G167" i="1"/>
  <c r="G153" i="1"/>
  <c r="G161" i="1"/>
  <c r="G14" i="1"/>
  <c r="G200" i="1" l="1"/>
  <c r="G199" i="1"/>
  <c r="G198" i="1"/>
  <c r="G197" i="1"/>
  <c r="G196" i="1"/>
  <c r="G195" i="1"/>
  <c r="E194" i="1"/>
  <c r="G182" i="1"/>
  <c r="G181" i="1" s="1"/>
  <c r="G180" i="1" s="1"/>
  <c r="E181" i="1"/>
  <c r="E180" i="1" s="1"/>
  <c r="G179" i="1"/>
  <c r="G178" i="1"/>
  <c r="G177" i="1"/>
  <c r="G176" i="1"/>
  <c r="G175" i="1"/>
  <c r="G174" i="1"/>
  <c r="G173" i="1"/>
  <c r="G172" i="1"/>
  <c r="G171" i="1"/>
  <c r="G166" i="1"/>
  <c r="G165" i="1"/>
  <c r="G164" i="1"/>
  <c r="G152" i="1"/>
  <c r="G28" i="1"/>
  <c r="G27" i="1"/>
  <c r="G26" i="1"/>
  <c r="E14" i="1"/>
  <c r="T25" i="1"/>
  <c r="S14" i="1"/>
  <c r="R14" i="1"/>
  <c r="Q14" i="1"/>
  <c r="P14" i="1"/>
  <c r="O14" i="1"/>
  <c r="N14" i="1"/>
  <c r="M14" i="1"/>
  <c r="L14" i="1"/>
  <c r="K14" i="1"/>
  <c r="J14" i="1"/>
  <c r="I14" i="1"/>
  <c r="H14" i="1"/>
  <c r="S28" i="1"/>
  <c r="R28" i="1"/>
  <c r="P28" i="1"/>
  <c r="O28" i="1"/>
  <c r="N28" i="1"/>
  <c r="M28" i="1"/>
  <c r="L28" i="1"/>
  <c r="K28" i="1"/>
  <c r="J28" i="1"/>
  <c r="I28" i="1"/>
  <c r="H28" i="1"/>
  <c r="T163" i="1"/>
  <c r="T162" i="1"/>
  <c r="T160" i="1"/>
  <c r="S167" i="1"/>
  <c r="R167" i="1"/>
  <c r="P167" i="1"/>
  <c r="O167" i="1"/>
  <c r="N167" i="1"/>
  <c r="M167" i="1"/>
  <c r="L167" i="1"/>
  <c r="K167" i="1"/>
  <c r="J167" i="1"/>
  <c r="I167" i="1"/>
  <c r="H167" i="1"/>
  <c r="T193" i="1"/>
  <c r="S183" i="1"/>
  <c r="R183" i="1"/>
  <c r="P183" i="1"/>
  <c r="O183" i="1"/>
  <c r="N183" i="1"/>
  <c r="M183" i="1"/>
  <c r="L183" i="1"/>
  <c r="K183" i="1"/>
  <c r="J183" i="1"/>
  <c r="I183" i="1"/>
  <c r="H183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T182" i="1"/>
  <c r="T181" i="1" s="1"/>
  <c r="S181" i="1"/>
  <c r="S180" i="1" s="1"/>
  <c r="R181" i="1"/>
  <c r="R180" i="1" s="1"/>
  <c r="Q181" i="1"/>
  <c r="Q180" i="1" s="1"/>
  <c r="P181" i="1"/>
  <c r="P180" i="1" s="1"/>
  <c r="O181" i="1"/>
  <c r="O180" i="1" s="1"/>
  <c r="N181" i="1"/>
  <c r="N180" i="1" s="1"/>
  <c r="M181" i="1"/>
  <c r="M180" i="1" s="1"/>
  <c r="L181" i="1"/>
  <c r="L180" i="1" s="1"/>
  <c r="J181" i="1"/>
  <c r="J180" i="1" s="1"/>
  <c r="I181" i="1"/>
  <c r="I180" i="1" s="1"/>
  <c r="H181" i="1"/>
  <c r="H180" i="1" s="1"/>
  <c r="T152" i="1"/>
  <c r="T29" i="1"/>
  <c r="T23" i="1"/>
  <c r="T22" i="1"/>
  <c r="T21" i="1"/>
  <c r="T20" i="1"/>
  <c r="T18" i="1"/>
  <c r="T17" i="1"/>
  <c r="T16" i="1"/>
  <c r="G13" i="1" l="1"/>
  <c r="G6" i="1" s="1"/>
  <c r="E13" i="1"/>
  <c r="T194" i="1"/>
  <c r="T183" i="1"/>
  <c r="G194" i="1"/>
  <c r="K181" i="1"/>
  <c r="T28" i="1"/>
  <c r="T14" i="1"/>
  <c r="T153" i="1"/>
  <c r="T125" i="1" s="1"/>
  <c r="K180" i="1" l="1"/>
  <c r="T180" i="1" l="1"/>
  <c r="H125" i="1"/>
  <c r="H120" i="1" s="1"/>
  <c r="H13" i="1" s="1"/>
  <c r="I125" i="1"/>
  <c r="I120" i="1" s="1"/>
  <c r="I13" i="1" s="1"/>
  <c r="J125" i="1"/>
  <c r="J120" i="1" s="1"/>
  <c r="J13" i="1" s="1"/>
  <c r="K125" i="1"/>
  <c r="K120" i="1" s="1"/>
  <c r="K13" i="1" s="1"/>
  <c r="L125" i="1"/>
  <c r="L120" i="1" s="1"/>
  <c r="L13" i="1" s="1"/>
  <c r="M125" i="1"/>
  <c r="M120" i="1" s="1"/>
  <c r="M13" i="1" s="1"/>
  <c r="N125" i="1"/>
  <c r="N120" i="1" s="1"/>
  <c r="N13" i="1" s="1"/>
  <c r="O125" i="1"/>
  <c r="O120" i="1" s="1"/>
  <c r="O13" i="1" s="1"/>
  <c r="P125" i="1"/>
  <c r="P120" i="1" s="1"/>
  <c r="P13" i="1" s="1"/>
  <c r="Q13" i="1"/>
  <c r="R125" i="1"/>
  <c r="R120" i="1" s="1"/>
  <c r="R13" i="1" s="1"/>
  <c r="S125" i="1"/>
  <c r="S120" i="1" s="1"/>
  <c r="S13" i="1" s="1"/>
  <c r="T13" i="1" l="1"/>
</calcChain>
</file>

<file path=xl/comments1.xml><?xml version="1.0" encoding="utf-8"?>
<comments xmlns="http://schemas.openxmlformats.org/spreadsheetml/2006/main">
  <authors>
    <author>Luciana Chaves de Melo Gaúna</author>
    <author/>
    <author>Administrador</author>
  </authors>
  <commentList>
    <comment ref="A208" authorId="0" shapeId="0">
      <text>
        <r>
          <rPr>
            <b/>
            <sz val="9"/>
            <color indexed="81"/>
            <rFont val="Segoe UI"/>
            <family val="2"/>
          </rPr>
          <t>Vigência: 19/04/2018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09" authorId="0" shapeId="0">
      <text>
        <r>
          <rPr>
            <b/>
            <sz val="9"/>
            <color indexed="81"/>
            <rFont val="Segoe UI"/>
            <family val="2"/>
          </rPr>
          <t>Vigência: 19/04/2018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40" authorId="0" shapeId="0">
      <text>
        <r>
          <rPr>
            <b/>
            <sz val="9"/>
            <color indexed="81"/>
            <rFont val="Segoe UI"/>
            <family val="2"/>
          </rPr>
          <t>Luciana Chaves de Melo Gaúna:</t>
        </r>
        <r>
          <rPr>
            <sz val="9"/>
            <color indexed="81"/>
            <rFont val="Segoe UI"/>
            <family val="2"/>
          </rPr>
          <t xml:space="preserve">
Classificamos como Locação de software (serviços relacionados e TI) ,</t>
        </r>
      </text>
    </comment>
    <comment ref="A271" authorId="1" shapeId="0">
      <text>
        <r>
          <rPr>
            <sz val="11"/>
            <color rgb="FF000000"/>
            <rFont val="Calibri"/>
            <family val="2"/>
          </rPr>
          <t xml:space="preserve">Vigência: 20/02/2018
</t>
        </r>
      </text>
    </comment>
    <comment ref="A272" authorId="1" shapeId="0">
      <text>
        <r>
          <rPr>
            <sz val="11"/>
            <color rgb="FF000000"/>
            <rFont val="Calibri"/>
            <family val="2"/>
          </rPr>
          <t xml:space="preserve">Vigência: 20/02/2018
</t>
        </r>
      </text>
    </comment>
    <comment ref="A273" authorId="1" shapeId="0">
      <text>
        <r>
          <rPr>
            <sz val="11"/>
            <color rgb="FF000000"/>
            <rFont val="Calibri"/>
            <family val="2"/>
          </rPr>
          <t xml:space="preserve">Vigência: 28/07/18
</t>
        </r>
      </text>
    </comment>
    <comment ref="A280" authorId="1" shapeId="0">
      <text>
        <r>
          <rPr>
            <sz val="11"/>
            <color rgb="FF000000"/>
            <rFont val="Calibri"/>
            <family val="2"/>
          </rPr>
          <t xml:space="preserve">Vigência: 17/06/18
</t>
        </r>
      </text>
    </comment>
    <comment ref="A282" authorId="1" shapeId="0">
      <text>
        <r>
          <rPr>
            <sz val="11"/>
            <color rgb="FF000000"/>
            <rFont val="Calibri"/>
            <family val="2"/>
          </rPr>
          <t xml:space="preserve">Vigência: 11/08/18
</t>
        </r>
      </text>
    </comment>
    <comment ref="A288" authorId="0" shapeId="0">
      <text>
        <r>
          <rPr>
            <b/>
            <sz val="9"/>
            <color indexed="81"/>
            <rFont val="Segoe UI"/>
            <family val="2"/>
          </rPr>
          <t>Vigência: Maio/2019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89" authorId="0" shapeId="0">
      <text>
        <r>
          <rPr>
            <b/>
            <sz val="9"/>
            <color indexed="81"/>
            <rFont val="Segoe UI"/>
            <family val="2"/>
          </rPr>
          <t>Vigência: Maio/2019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90" authorId="0" shapeId="0">
      <text>
        <r>
          <rPr>
            <b/>
            <sz val="9"/>
            <color indexed="81"/>
            <rFont val="Segoe UI"/>
            <family val="2"/>
          </rPr>
          <t xml:space="preserve">Vigência: 27/07/2018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293" authorId="1" shapeId="0">
      <text>
        <r>
          <rPr>
            <sz val="11"/>
            <color rgb="FF000000"/>
            <rFont val="Calibri"/>
            <family val="2"/>
          </rPr>
          <t xml:space="preserve">Vigência: 10/08/18
</t>
        </r>
      </text>
    </comment>
    <comment ref="A295" authorId="1" shapeId="0">
      <text>
        <r>
          <rPr>
            <sz val="11"/>
            <color rgb="FF000000"/>
            <rFont val="Calibri"/>
            <family val="2"/>
          </rPr>
          <t xml:space="preserve">Vigência: 21/02/2018
</t>
        </r>
      </text>
    </comment>
    <comment ref="A302" authorId="1" shapeId="0">
      <text>
        <r>
          <rPr>
            <sz val="11"/>
            <color rgb="FF000000"/>
            <rFont val="Calibri"/>
            <family val="2"/>
          </rPr>
          <t xml:space="preserve">Vigência: 23/02/2018
</t>
        </r>
      </text>
    </comment>
    <comment ref="A303" authorId="1" shapeId="0">
      <text>
        <r>
          <rPr>
            <sz val="11"/>
            <color rgb="FF000000"/>
            <rFont val="Calibri"/>
            <family val="2"/>
          </rPr>
          <t xml:space="preserve">Vigência: 23/02/2019
</t>
        </r>
      </text>
    </comment>
    <comment ref="A304" authorId="1" shapeId="0">
      <text>
        <r>
          <rPr>
            <sz val="11"/>
            <color rgb="FF000000"/>
            <rFont val="Calibri"/>
            <family val="2"/>
          </rPr>
          <t xml:space="preserve">Vigência: 23/02/2019
</t>
        </r>
      </text>
    </comment>
    <comment ref="A379" authorId="1" shapeId="0">
      <text>
        <r>
          <rPr>
            <sz val="11"/>
            <color rgb="FF000000"/>
            <rFont val="Calibri"/>
            <family val="2"/>
          </rPr>
          <t xml:space="preserve">Vigência: 25/03/2018
</t>
        </r>
      </text>
    </comment>
    <comment ref="A1057" authorId="2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Verificar com o Ronaldo contratação... Esperar Cronograma???</t>
        </r>
      </text>
    </comment>
  </commentList>
</comments>
</file>

<file path=xl/comments2.xml><?xml version="1.0" encoding="utf-8"?>
<comments xmlns="http://schemas.openxmlformats.org/spreadsheetml/2006/main">
  <authors>
    <author>Luciana Chaves de Melo Gaúna</author>
  </authors>
  <commentList>
    <comment ref="H1" authorId="0" shapeId="0">
      <text>
        <r>
          <rPr>
            <b/>
            <sz val="9"/>
            <color indexed="81"/>
            <rFont val="Segoe UI"/>
            <family val="2"/>
          </rPr>
          <t>Ex: rolo, unidade, metro, litro, kg, etc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L1" authorId="0" shapeId="0">
      <text>
        <r>
          <rPr>
            <b/>
            <sz val="9"/>
            <color indexed="81"/>
            <rFont val="Segoe UI"/>
            <family val="2"/>
          </rPr>
          <t>ALTO, MÈDIO ou BAIXO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<sst xmlns="http://schemas.openxmlformats.org/spreadsheetml/2006/main" count="4481" uniqueCount="1452">
  <si>
    <t>Desembolso Janeiro</t>
  </si>
  <si>
    <t>Desembolso Fevereiro</t>
  </si>
  <si>
    <t>Desembolso Março</t>
  </si>
  <si>
    <t>Desembolso Abril</t>
  </si>
  <si>
    <t>Desembolso Maio</t>
  </si>
  <si>
    <t>Desembolso Junho</t>
  </si>
  <si>
    <t>Desembolso Julho</t>
  </si>
  <si>
    <t>Desembolso Agosto</t>
  </si>
  <si>
    <t>Desembolso Setembro</t>
  </si>
  <si>
    <t>Desembolso Outubro</t>
  </si>
  <si>
    <t>Desembolso Novembro</t>
  </si>
  <si>
    <t>Desembolso Dezembro</t>
  </si>
  <si>
    <t>Desembolso Planejado</t>
  </si>
  <si>
    <t>MATERIAL DE CONSUMO</t>
  </si>
  <si>
    <t>Gêneros Alimentícios</t>
  </si>
  <si>
    <t>Aquisição de adoçante líquido (COFEN/DF)</t>
  </si>
  <si>
    <t>Aquisição de adoçante líquido (COFEN/RJ)</t>
  </si>
  <si>
    <t>Aquisição de açúcar refinado (COFEN/RJ)</t>
  </si>
  <si>
    <t>Aquisição de gêneros alimentícios (MUSEU)</t>
  </si>
  <si>
    <t>Aquisição de café (COFEN/RJ)</t>
  </si>
  <si>
    <t>Aquisição de café (COFEN/DF)</t>
  </si>
  <si>
    <t>Material Educativo e Esportivo</t>
  </si>
  <si>
    <t>Material para Festividades e Homenagens</t>
  </si>
  <si>
    <t>Material de Acondicionamento e Embalagem</t>
  </si>
  <si>
    <t>Material de Copa e Cozinha</t>
  </si>
  <si>
    <t>Uniformes</t>
  </si>
  <si>
    <t>Material p/ Manutenção de Bens Imóveis / instalações</t>
  </si>
  <si>
    <t>Material p/ Manutenção de Bens Móveis</t>
  </si>
  <si>
    <t>Material para Áudio, Vídeo e Foto</t>
  </si>
  <si>
    <t>Material para Comunicações</t>
  </si>
  <si>
    <t>Material para Manutenção de Veículos</t>
  </si>
  <si>
    <t>Ferramentas</t>
  </si>
  <si>
    <t>Material Técnico para Seleção e Treinamento</t>
  </si>
  <si>
    <t>Material Bibliográfico</t>
  </si>
  <si>
    <t>Bilhetes de Passagem</t>
  </si>
  <si>
    <t>Bandeiras, Flâmulas, Insígnas e Congêneres</t>
  </si>
  <si>
    <t>Sentenças Judiciais de Fornecedores de Materiais</t>
  </si>
  <si>
    <t>OUTROS MATERIAIS DE USO NÃO DURADOURO</t>
  </si>
  <si>
    <t>Materiais de Conservação e Restauração</t>
  </si>
  <si>
    <t>Prêmios, Condecorações, Medalhas,Troféus e Outras Premiações</t>
  </si>
  <si>
    <t>MATERIAL, BEM OU SERVIÇO PARA DISTRIBUIÇÃO GRATUITA</t>
  </si>
  <si>
    <t>Mercadorias Doadas</t>
  </si>
  <si>
    <t>Material Educacional e Cultural</t>
  </si>
  <si>
    <t>Material para Cerimonial</t>
  </si>
  <si>
    <t>Material para Divulgação</t>
  </si>
  <si>
    <t>Outros Materiais de Distribuição Gratuita</t>
  </si>
  <si>
    <t>OUTROS A ESPECIFICAR</t>
  </si>
  <si>
    <t>Descrição do Objeto</t>
  </si>
  <si>
    <t>Justificativa da Aquisição</t>
  </si>
  <si>
    <t>Código</t>
  </si>
  <si>
    <t>Quantidade demandada</t>
  </si>
  <si>
    <t>Valor unitário estimado</t>
  </si>
  <si>
    <t>valor total</t>
  </si>
  <si>
    <t>Orçamento 2020  - CONSELHO FEDERAL DE ENFERMAGEM</t>
  </si>
  <si>
    <t>especificar</t>
  </si>
  <si>
    <t>APAGADOR PARA QUADRO BRANCO</t>
  </si>
  <si>
    <t>APOIO DE PÉ</t>
  </si>
  <si>
    <t>APONTADOR DE AÇO</t>
  </si>
  <si>
    <t>BARBANTE DE ALGODÃO</t>
  </si>
  <si>
    <t>BARBANTE DE FITILHO</t>
  </si>
  <si>
    <t>BLOCO DE ANOTAÇÃO</t>
  </si>
  <si>
    <t>BOBINA DE PLÁSTICO BOLHA</t>
  </si>
  <si>
    <t>Material de Expediente - COFEN</t>
  </si>
  <si>
    <t>BOBINA PARA PONTO ELETRÔNICO</t>
  </si>
  <si>
    <t>BORRACHA BRANCA</t>
  </si>
  <si>
    <t>BOBINA DE PLÁSTICO TIPO BOLHA</t>
  </si>
  <si>
    <t>COLA BASTÃO</t>
  </si>
  <si>
    <t>COLA BRANCA 90GR</t>
  </si>
  <si>
    <t>CORRETIVO LÍQUIDO</t>
  </si>
  <si>
    <t>ESPETO PARA PAPEL</t>
  </si>
  <si>
    <t>ETIQUETA CARTELA URGENTE 13,0 x 44,5 C/ 60 UNIDADES</t>
  </si>
  <si>
    <t>ETIQUETA  288mmx200(1 POR PÁGINA)</t>
  </si>
  <si>
    <t>ETIQUETA 106.36 X 138.11 MM (4 POR PÁGINA)</t>
  </si>
  <si>
    <t>ETIQUETA 33.9 X 101.6 MM (14 POR PÁGINA)</t>
  </si>
  <si>
    <t>ETIQUETA 50.8 X 101.6 MM (10 POR PÁGINA)</t>
  </si>
  <si>
    <t>ETIQUETA 99.1 X 67.7 MM (8 POR PÁGINA)</t>
  </si>
  <si>
    <t>EXTRATOR DE GRAMPOS</t>
  </si>
  <si>
    <t>FITA ADESIVA P/IMPRESSORA DE ETIQUETA (MARCA DK 2205)</t>
  </si>
  <si>
    <t>FITA ADESIVA TRANSPARENTE ESTREITA</t>
  </si>
  <si>
    <t>FITA ADESIVA TRANSPARENTE LARGA</t>
  </si>
  <si>
    <t>FITA ADESIVA DE EMPACOTAMENTO QUALITAPE MARROM 48MM X 40M</t>
  </si>
  <si>
    <t>FITA ADESIVA PARA ROTULADOR ELETRÔNICO</t>
  </si>
  <si>
    <t>FITA CREPE 50MM X 50 M</t>
  </si>
  <si>
    <t>FITA DUPLA-FACE</t>
  </si>
  <si>
    <t>GRAFITE 0,5MM</t>
  </si>
  <si>
    <t>GRAFITE 0,7MM</t>
  </si>
  <si>
    <t xml:space="preserve">GRAMPEADOR ATÉ 100 FOLHAS </t>
  </si>
  <si>
    <t>GRAMPEADOR 25 FOLHAS (GRANDE)</t>
  </si>
  <si>
    <t>GRAMPEADOR  20 FOLHAS (MÉDIO)</t>
  </si>
  <si>
    <t>GRAMPO 23/13 (GRAMPEADOR ATÉ 100 FOLHAS)</t>
  </si>
  <si>
    <t>GRAMPO 23/8 (GRAMPEADOR ATÉ 50 FOLHAS)</t>
  </si>
  <si>
    <t>GRAMPO 26/6 (GRAMPEADOR MÉDIO/GRANDE)</t>
  </si>
  <si>
    <t>GRAMPO ENCADERNADOR (BAILARINA)</t>
  </si>
  <si>
    <t>LACRE PARA MALOTE</t>
  </si>
  <si>
    <t>LAPIS PRETO</t>
  </si>
  <si>
    <t>LAPISEIRA 0,5MM</t>
  </si>
  <si>
    <t>LAPISEIRA 0,7MM</t>
  </si>
  <si>
    <t>LIVRO ATA</t>
  </si>
  <si>
    <t>LIVRO DE PROTOCOLO</t>
  </si>
  <si>
    <t>LIXEIRA PARA ESCRITORIO</t>
  </si>
  <si>
    <t>LUVA DE PROCEDIMENTO (TAMANHO M)</t>
  </si>
  <si>
    <t>LUVA DE PROCEDIMENTO (TAMANHO G)</t>
  </si>
  <si>
    <t>LUVA DE PROCEDIMENTO (TAMANHO P)</t>
  </si>
  <si>
    <t>MARCADOR ADESIVO DE PÁGINA REMOVÍVEL</t>
  </si>
  <si>
    <t>MARCA TEXTO AMARELO</t>
  </si>
  <si>
    <t>MARCA TEXTO VERDE</t>
  </si>
  <si>
    <t>MOLHA DEDO</t>
  </si>
  <si>
    <t>PAPEL A3 ALCALINO</t>
  </si>
  <si>
    <t>PAPEL A4 75G/M2 (USO COMUM/DIÁRIO)</t>
  </si>
  <si>
    <t>PAPEL CONTACT TRANSPARENTE 25m x 45 cm</t>
  </si>
  <si>
    <t>PAPEL PARDO P/ EMBRULHO</t>
  </si>
  <si>
    <t>PASTA A-Z ESTREITA</t>
  </si>
  <si>
    <t>PASTA A-Z LARGA</t>
  </si>
  <si>
    <t>PASTA CATÁLOGO</t>
  </si>
  <si>
    <t>PASTA PLÁSTICA COM ELASTICO</t>
  </si>
  <si>
    <t>PASTA PLÁSTICA TIPO ENVELOPE</t>
  </si>
  <si>
    <t>PASTA PLÁSTICA  COM GRAMPO</t>
  </si>
  <si>
    <t>PASTA POLIONDA ESTREITA (33.5 X 24X2 CM)</t>
  </si>
  <si>
    <t>PASTA POLIONDA LARGA (33.5X24X4 CM)</t>
  </si>
  <si>
    <t>PASTA SANFONADA</t>
  </si>
  <si>
    <t>PASTA SUSPENSA</t>
  </si>
  <si>
    <t>PERFURADOR 25 FOLHAS</t>
  </si>
  <si>
    <t>PERFURADOR 70 FOLHAS</t>
  </si>
  <si>
    <t>PINCEL PARA QUADRO BRANCO (AZUL)</t>
  </si>
  <si>
    <t>PINCEL PARA QUADRO BRANCO (PRETO)</t>
  </si>
  <si>
    <t>PINCEL PARA QUADRO BRANCO (VERMELHO)</t>
  </si>
  <si>
    <t>PINCEL (ATÔMICO)  AZUL</t>
  </si>
  <si>
    <t>PINCEL (ATÔMICO) PRETO</t>
  </si>
  <si>
    <t>PINCEL (ATÔMICO)  VERMELHO</t>
  </si>
  <si>
    <t>PORTA CRACHÁ</t>
  </si>
  <si>
    <t>ORGANIZADOR DE MESA (PORTA CANETAS)</t>
  </si>
  <si>
    <t>POST-IT GRANDE</t>
  </si>
  <si>
    <t>POST-IT PEQUENO (POR PACOTE)</t>
  </si>
  <si>
    <t>PRANCHETA ACRÍLICA</t>
  </si>
  <si>
    <t>PRENDEDOR (CINTA) ELÁSTICO P/PROCESSO NA COR PRETA</t>
  </si>
  <si>
    <t>PRISMA ACRÍLICO DUPLA FACE</t>
  </si>
  <si>
    <t>QUADRO BRANCO</t>
  </si>
  <si>
    <t>REGUA 30 CM</t>
  </si>
  <si>
    <t>SACO PLÁSTICO COM 11 FUROS PARA DOCUMENTO (TAMANHO A4)</t>
  </si>
  <si>
    <t>SACO PLÁSTICO GROSSO COM 4 FUROS</t>
  </si>
  <si>
    <t>TESOURA MEDIA (21 CM)</t>
  </si>
  <si>
    <t>TINTA PARA CARIMBO PRETO</t>
  </si>
  <si>
    <t>ENVELOPE TIMBRADO GRANDE (31X41 CM)</t>
  </si>
  <si>
    <t>ENVELOPE TIMBRADO MEDIO (24X34 CM)</t>
  </si>
  <si>
    <t>ENVELOPE TIMBRADO PEQUENO (19X25 CM)</t>
  </si>
  <si>
    <t>ENVELOPE TIMBRADO TIPO CARTA/CONVITE (11X23 CM)</t>
  </si>
  <si>
    <t>PASTA VERDE PAD</t>
  </si>
  <si>
    <t>PASTA BRANCA PEF</t>
  </si>
  <si>
    <t>PAPEL PARDO PARA EMBRULHO</t>
  </si>
  <si>
    <t>PASTA PLÁSTICA TIPO ENVELOPE C/BOTÃO</t>
  </si>
  <si>
    <t>PASTA PLÁSTICA COM ABAS E ELÁSTICO</t>
  </si>
  <si>
    <t>ESPONJA DE LIMPEZA DUPLA FACE</t>
  </si>
  <si>
    <t>SACO ALVEJADO 55 x 75 cm</t>
  </si>
  <si>
    <t>CANETA NANQUIM Nº 5 PRETA</t>
  </si>
  <si>
    <t>DESUMIDIFICADOR DE AMBIENTES</t>
  </si>
  <si>
    <t>FITA DUPLA-FACE ACRÍLICA II</t>
  </si>
  <si>
    <t>PAPEL COUCHÊ BRANCO 180 g /m²</t>
  </si>
  <si>
    <t>PAPEL SEDA NEUTRO 50cm x 70cm - Gr 20</t>
  </si>
  <si>
    <t>SÍLICA EM GEL</t>
  </si>
  <si>
    <t>VERNIZ VITRAL INCOLOR 100ml</t>
  </si>
  <si>
    <t>CAIXA BOX AZUL</t>
  </si>
  <si>
    <t>CANETA ESFEROGRÁFICA AZUL ESCRITA FINA</t>
  </si>
  <si>
    <t>CANETA ESFEROGRÁFICA AZUL ESCRITA MÉDIA</t>
  </si>
  <si>
    <t>CANETA ESFEROGRÁFICA PRETA ESCRITA FINA</t>
  </si>
  <si>
    <t>COLA BRANCA</t>
  </si>
  <si>
    <t>ENVELOPE BRANCO 24x34 cm</t>
  </si>
  <si>
    <t>ENVELOPE PARA GUARDAR CD/DVD</t>
  </si>
  <si>
    <t>MÁSCARA CIRÚRGICA - caixa com 50 unidades</t>
  </si>
  <si>
    <t>Café, tipo: superior,torrado e moído, apresentação: pó, tipo embalagem: a vácuo, validade: mínima de 10 meses da data da entrega, normas técnicas: laudo de classificação da qualidade da bebida, características adicionais: mínimo 6,5 pontos escala sensorial com laudo</t>
  </si>
  <si>
    <t>Apagador quadro branco, material base: feltro, material corpo: resina termoplástica, comprimento: 14 cm, largura: 5 cm, altura: 2,80 cm</t>
  </si>
  <si>
    <t>Mouse pad, material: borracha neoprene, comprimento: 22 cm, largura: 25 cm, espessura: 5 mm, acabamento superficial: tecido</t>
  </si>
  <si>
    <t>Apontador lápis, material: metal, tipo: escolar, tamanho: pequeno, quantidade furos: 1, características adicionais: lâmina em aço inoxidáve</t>
  </si>
  <si>
    <t>Barbante algodão, quantidade fios: 8 un, acabamento superficial: crú</t>
  </si>
  <si>
    <t>Fitilho, cor: verde, material: polietileno e polipropileno, tipo: fio 04,20</t>
  </si>
  <si>
    <t>Plástico bolha, material: plástico, largura: 1,30 m, comprimento: 100 m, apresentação: bobina</t>
  </si>
  <si>
    <t>Papel bobinado, material: papel térmico, aplicação: relógio de ponto marca henry orion 6, comprimento: 300 m, largura: 57 mm</t>
  </si>
  <si>
    <t>Borracha apagadora escrita, material: borracha, comprimento: 40 mm, largura: 20 mm, cor: branca, tipo: macia, material capa: plástico de vinil, cor capa: azul, características adicionais: capa plástica protetora, aplicação: para lápis</t>
  </si>
  <si>
    <t>Caixa arquivo, material: plástico corrugado, dimensão (c x l x a): 35,0 x 13,0 x 24,5 cm, cor: colorido, impressão: sem impressão</t>
  </si>
  <si>
    <t>Caneta esferográfica, material: plástico, quantidade cargas: 1 un, material ponta: latão com esfera de tungstênio, tipo escrita: fina, cor tinta: azul, características adicionais: material transparente e com orifício lateral</t>
  </si>
  <si>
    <t>Caneta esferográfica, material: plástico, quantidade cargas: 1 un, material ponta: latão com esfera de tungstênio, tipo escrita: média, cor tinta: azul, características adicionais: material transparente e com orifício lateral</t>
  </si>
  <si>
    <t>Material para atender ao Órgão no exercício de 2020.</t>
  </si>
  <si>
    <t>Material de Expediente - ESCRITÓRIO RJ</t>
  </si>
  <si>
    <t>Material de Expediente - MUNEAN</t>
  </si>
  <si>
    <t>COPO DESCARTÁVEL DE 200 ML (COFEN)</t>
  </si>
  <si>
    <t>COPO DESCARTÁVEL DE 50 ML (COFEN)</t>
  </si>
  <si>
    <t>COPO DESCARTÁVEL DE 200 ML (MUNEAN)</t>
  </si>
  <si>
    <t>COPO DESCARTÁVEL DE 50 ML (MUNEAN)</t>
  </si>
  <si>
    <t>PAZINHA PLÁSTICA PARA MEXER CAFÉ (COFEN)</t>
  </si>
  <si>
    <t>GARRAFA TÉRMICA (MUNEAN)</t>
  </si>
  <si>
    <t>Material de Limpeza e Prod. de Higienização - ESCRITÓRIO RJ</t>
  </si>
  <si>
    <t>COADOR DE CAFÉ TAMANHO GRANDE (RIO)</t>
  </si>
  <si>
    <t>PILHA PALITO (AAA) (MUNEAN)</t>
  </si>
  <si>
    <t xml:space="preserve">Material Elétrico e Eletrônico </t>
  </si>
  <si>
    <t>PILHA ALCALINA AA – 1,5V (COFEN)</t>
  </si>
  <si>
    <t>PILHA PALITO (AAA) (COFEN)</t>
  </si>
  <si>
    <t>MATERIAIS GRÁFICOS - COFEN</t>
  </si>
  <si>
    <t xml:space="preserve">PASTA INSTITUCIONAL PERSONALIZADA </t>
  </si>
  <si>
    <t>Cola, cor: branca, aplicação: papel, características adicionais: atóxica, tipo: bastão</t>
  </si>
  <si>
    <t>Cola, composição: polivinil acetato - pva, cor: branca, aplicação: papel, características adicionais: com bico aplicador , atóxica , lavável., tipo: pastosa</t>
  </si>
  <si>
    <t>Envelope, material: kraft, modelo: saco padrão, tamanho (c x l): 240 x 340 mm, cor: branco, gramatura: 90 g,m2</t>
  </si>
  <si>
    <t>Envelope, material: sulfite, modelo: saco para cd, tamanho (c x l): 126 x 126 mm, cor: branco, gramatura: 75 g,m2, acabamento: com janela transparente</t>
  </si>
  <si>
    <t>Espeto papel, material: arame polido, altura haste: 14 cm, diâmetro base: 9 cm, tratamento superficial: cromado, características adicionais: ponteira de borracha</t>
  </si>
  <si>
    <t>Etiqueta adesiva, material: papel, cor: vermelha, largura: 44 mm, aplicação: identificação, altura: 13 mm, características adicionais 1: impressão "urgente"</t>
  </si>
  <si>
    <t>Fita adesiva, material: polipropileno transparente, tipo: monoface, largura: 12 mm, comprimento: 40 m, cor: incolor, aplicação: multiuso</t>
  </si>
  <si>
    <t>Fita adesiva, material: polipropileno transparente, tipo: monoface, largura: 50 mm, comprimento: 50 m, aplicação: empacotamento</t>
  </si>
  <si>
    <t>Fita adesiva embalagem, material: resina e borracha sintética, comprimento: 50 m, largura: 48 mm, aplicação: empacotamento em geral, cor: marrom</t>
  </si>
  <si>
    <t>Papel a4, material: papel alcalino, comprimento: 297 mm, largura: 210 mm, aplicação: impressora laser e jato de tinta, gramatura: 75 g,m2, cor: branca</t>
  </si>
  <si>
    <t>Papel embrulho, tipo papel: pardo, apresentação: folha, largura: 66 cm, comprimento: 96 cm, gramatura: 70 g,m2</t>
  </si>
  <si>
    <t>Pasta arquivo, material: plástico transparente, tipo: com abas, largura: 230 mm, altura: 350 mm, cor: cristal, características adicionais: com elástico</t>
  </si>
  <si>
    <t>Bloco rascunho, material: papel off-set, tipo: sem pauta, comprimento: 210 mm, gramatura: 75 g,m2, quantidade folhas: 50 un, largura: 150 mm, aplicação: anotações diversas, características adicionais: capa e impressão conforme modelo, cor: branca</t>
  </si>
  <si>
    <t>Fita adesiva, material: polipropileno transparente, tipo: rotuladora, largura: 18 mm, comprimento: 8 m, cor: branca, aplicação: rotulador eletrônico marca brother, características adicionais: laminada, impressão na cor preta</t>
  </si>
  <si>
    <t>Fita adesiva, material: crepe, tipo: monoface, largura: 45 mm, comprimento: 50 m, cor: branca, aplicação: multiuso</t>
  </si>
  <si>
    <t>Fita adesiva, material: papel, tipo: dupla face, largura: 19 mm, comprimento: 30 m, cor: branca, aplicação: multiuso</t>
  </si>
  <si>
    <t>Grampeador, material: metal, tipo: profissional, capacidade: 100 fl, tamanho grampo: 23,6, 23,8, 23,10, e 23,13, características adicionais: ajuste de profundidade,base emborrachada</t>
  </si>
  <si>
    <t>Grampeador, material: metal, tipo: mesa, capacidade: 25 fl, tamanho grampo: 26,6, características adicionais: base de borracha</t>
  </si>
  <si>
    <t>Grampeador, tratamento superficial: pintado, material: metal, tipo: mesa, capacidade: 20 fl, tamanho grampo: 26,6, características adicionais: dimensões aproximadas 8,8 x 20 x 5 cm</t>
  </si>
  <si>
    <t>Grampo grampeador, material: metal, tratamento superficial: galvanizado, tamanho: 23,13</t>
  </si>
  <si>
    <t>Grampo grampeador, material: metal, tratamento superficial: galvanizado, tamanho: 23,8</t>
  </si>
  <si>
    <t>Grampo grampeador, material: metal, tratamento superficial: galvanizado, tamanho: 26,6</t>
  </si>
  <si>
    <t>Lápis preto, material corpo: madeira, dureza carga: 2, formato corpo: sextavado, material carga: grafite preto nº2</t>
  </si>
  <si>
    <t>Lapiseira, material: baquelite, diâmetro carga: 0,7 mm, características adicionais: c,prendedor, ponta e acionador de metal c,borracha</t>
  </si>
  <si>
    <t>Lapiseira, material: baquelite, diâmetro carga: 0,5 mm, características adicionais: c,prendedor, ponta e acionador de metal c,borracha</t>
  </si>
  <si>
    <t>Envelope plástico, tipo plástico: plástico incolor, comprimento: 340 mm, largura: 240 mm, características adicionais: com abertura horizontal,feche c, botão de pressão</t>
  </si>
  <si>
    <t>Envelope plástico, tipo plástico: liso, comprimento: 325 mm, largura: 240 mm, características adicionais: com 4 furos, tipo: saco, gramatura: 0,15 g,m2, transmitância: transparente</t>
  </si>
  <si>
    <t>Corretivo líquido, material: base d'água - secagem rápida, apresentação: frasco, aplicação: papel comum, volume: 18 ml, características adicionais: com diluente</t>
  </si>
  <si>
    <t>Desumidificador, características adicionais: químico, granulado, material: a base de cloreto de cálcio, essências,adjuvantes</t>
  </si>
  <si>
    <t>Extrator grampo, material: aço inoxidável, tipo: espátula, tratamento superficial: cromado, características adicionais: prensado a frio, espessura: 1mm, comprimento: 150 mm, largura: 15 mm</t>
  </si>
  <si>
    <t>Fita adesiva, material: espuma acrílica, tipo: dupla face, largura: 19 mm, comprimento: 20 m, aplicação: multiuso</t>
  </si>
  <si>
    <t>Lacre malote, material: polipropileno de alta resistência, tipo: espinha de peixe, aplicação: malote, características adicionais: numerado e personalizado,alto relevo,dupla trava, cor: azul, comprimento: 16 cm</t>
  </si>
  <si>
    <t>Livro ata, material: papel off-set, quantidade folhas: 200 un, gramatura: 56 g,m2, comprimento: 300 mm, largura: 205 mm, características adicionais: capa de papelão plastificado 700 g,m2 preta</t>
  </si>
  <si>
    <t>Lixeira, material: pvc, capacidade: 9 l, diâmetro: 23 cm, altura: 29 cm, cor: preta</t>
  </si>
  <si>
    <t>Papel a3, material: papel alcalino, largura: 297 mm, comprimento: 420 mm, gramatura: 75 g,m2</t>
  </si>
  <si>
    <t>Adoçante, aspecto físico: líquido transparente, ingredientes: sucralose, prazo validade: 1 anos, tipo: dietético, características adicionais: bico dosador</t>
  </si>
  <si>
    <t>Açúcar, tipo: cristal, composição: origem vegetal, sacarosi de cana de açúcar, aplicação: adoçante, características adicionais: 1ª qualidade</t>
  </si>
  <si>
    <t>Açúcar, tipo: refinado, características adicionais: branco, 1ª qualidade</t>
  </si>
  <si>
    <t>Papel couchê, material: celulose vegetal, cor: branca, gramatura: 180 g,m2, tipo: fosco, comprimento: 450 mm, largura: 320 mm</t>
  </si>
  <si>
    <t>Papel seda, material: celulose vegetal, comprimento: 70 cm, largura: 50 cm, cor: rosa</t>
  </si>
  <si>
    <t>Pasta arquivo, material: plástico marmorizado, tipo: suspensa, largura: 360 mm, altura: 240 mm, cor: castanha, características adicionais 3: com visor, etiqueta e grampo plástico</t>
  </si>
  <si>
    <t>Perfurador papel, material: metal, tipo: outros, tratamento superficial: outros, capacidade perfuração: 25 fl, características adicionais: furo redondo, margeador, regulagem de profundidade</t>
  </si>
  <si>
    <t>Bloco recado, material: papel, cor: amarela, largura: 35 mm, comprimento: 50 mm, tipo: auto-adesivo, características adicionais: "post-it", quantidade folhas: 100 un</t>
  </si>
  <si>
    <t>Régua escritório, material: acrílico, comprimento: 30 cm, graduação: centímetro,milímetro, tipo material: rígido, cor: cristal, transmitância: transparente</t>
  </si>
  <si>
    <t>Desumidificador, capacidade: absorção 35%rh:12%, umidade a 140°c:2%, características adicionais: dimensôes do sachê: 235 mm x 130 mm, material: silica gel, aplicação: uso geral</t>
  </si>
  <si>
    <t>Tesoura, material: aço inoxidável, material cabo: polipropileno, comprimento: 21 cm, características adicionais: cabo anatômico</t>
  </si>
  <si>
    <t>Verniz, acabamento: transparente, cor: incolor, aplicação: vidro,espelho,gesso,cerâmica,porcelana,madeira, tipo: vitral, composição: resina acrílica hidroxilada, solventes e aditivos</t>
  </si>
  <si>
    <t>Esponja limpeza, material: poliuretano, formato: retangular, aplicação: peças de vidro, inox e superfícies antiaderentes, características adicionais: verde amarela; manta não tecido, fibras sintéticas, comprimento mínimo: 110 mm, largura mínima: 74 mm, espessura mínima: 23 mm</t>
  </si>
  <si>
    <t>Saco de algodão, tipo: alvejado, tamanho: 55 x 80 cm, cor: branco, características adicionais: dupla face</t>
  </si>
  <si>
    <t>Pasta eventos, material: papel triplex, altura: 320 mm, gramatura: 280 g,m2, largura: 230 mm, aplicação: seminário,eventos,cursos, acabamento: laminado, formato: retangular, quantidade bolsos: 1 un, características adicionais 1: conforme modelo do órgão</t>
  </si>
  <si>
    <t>Elástico processo, material: 75% poliéster + 25% elastodieno, cor: preta, comprimento: 50 cm, largura: 4 cm, características adicionais: personalizado, conforme modelo, aplicação: unir processos</t>
  </si>
  <si>
    <t>Pilha, tamanho: pequena, modelo: aa, características adicionais: não recarregável, sistema eletroquímico: alcalina, tensão nominal: 1,5 v</t>
  </si>
  <si>
    <t>Pilha, tamanho: palito, modelo: aaa, sistema eletroquímico: alcalina</t>
  </si>
  <si>
    <t>Copo descartável, material: polipropileno, capacidade: 200 ml, aplicação: líquidos frios e quentes, características adicionais: atóxico, de acordo c, norma abnt, nbr 14865, cor: branco</t>
  </si>
  <si>
    <t>Copo descartável, material: plástico, capacidade: 50 ml, aplicação: café</t>
  </si>
  <si>
    <t>Garrafa térmica, material: aço inoxidável, capacidade: 1,80 l, formato: cilíndrico, características adicionais: com pressão, ampola de vidro</t>
  </si>
  <si>
    <t>Talher descartável, material: plástico, tipo: mexedor de cafezinho, cor: cristal, características adicionais: resistente, comprimento: 9 cm</t>
  </si>
  <si>
    <t>Coador café, material: flanela, tamanho: grande, aplicação: máquina de café industrial, características adicionais: sem cabo, capacidade: 2 l, diâmetro boca: 18 cm, comprimento: 26 cm</t>
  </si>
  <si>
    <t>Grampo trilho encadernador, material: plástico, comprimento: 300 mm, tipo: garra, cor: branca</t>
  </si>
  <si>
    <t>Livro protocolo, material: papel off-set, quantidade folhas: 104 fl, comprimento: 216 mm, largura: 153 mm, tipo capa: dura, características adicionais: com folhas pautadas e numeradas seqüencialmente, material capa: papelão, gramatura folhas: 54 g,m2</t>
  </si>
  <si>
    <t>Luva de proteção, material: nitrílica, aplicação: laboratorial, tipo punho: curto, tamanho: pequeno, cor: azul, acabamento palma: liso, esterilidade: não esterilizada, características adicionais: sem pó</t>
  </si>
  <si>
    <t>Luva de proteção, material: nitrílica, aplicação: laboratorial, tipo punho: curto, tamanho: médio, cor: azul, acabamento palma: liso, esterilidade: não esterilizada, características adicionais: sem pó</t>
  </si>
  <si>
    <t>Luva de proteção, material: nitrílica, aplicação: laboratorial, tipo punho: curto, tamanho: grande, cor: azul, acabamento palma: liso, esterilidade: não esterilizada, características adicionais: sem pó</t>
  </si>
  <si>
    <t>Marcador página, material: filme de poliéster e adesivo acrílico, cor: colorido, largura: 11,9 mm, comprimento: 43,2 mm, aplicação: processo, características adicionais: folhas c,tarja adesiva , removível , reutilizável</t>
  </si>
  <si>
    <t>Caneta marca-texto, material: plástico, tipo ponta: chanfrada, cor: fluorescente amarela, características adicionais: traço 4 mm</t>
  </si>
  <si>
    <t>Caneta marca-texto, material: plástico, tipo ponta: fluorescente, cor: verde, tipo: não recarregável, características adicionais: traço 4 mm</t>
  </si>
  <si>
    <t>Molha-dedos, material base: plástico, material tampa: plástico, material carga: creme atóxico, tamanho: 12, características adicionais: não contém glicerina e não mancha</t>
  </si>
  <si>
    <t>Papel auto-adesivo, material: plástico, tipo: contact, cor: incolor, largura: 450 mm</t>
  </si>
  <si>
    <t>Máscara descartável uso geral, material: tnt (tecido não tecido), tipo fixação: tripla com tiras e clipe nasal, características adicionais: esterilizável, hipoalergênica, hidrorepelente e nã</t>
  </si>
  <si>
    <t>Pasta arquivo, material: papelão, tipo: az, lombada: estreita mm, prendedor interno: ferragem baixa, tamanho: ofício</t>
  </si>
  <si>
    <t>Pasta arquivo, material: papelão, tipo: az, lombada: larga mm, prendedor interno: ferragem tipo alavanca com mola alta, características adicionais: visor, anel e etiqueta para identificação, bolsa, tamanho: ofício</t>
  </si>
  <si>
    <t>Pasta arquivo, material: cartão prensado, tipo: catálogo, largura: 225 mm, altura: 339 mm, capacidade: 100 sacos plásticos fl, características adicionais 2: 4 furos, prendedor interno</t>
  </si>
  <si>
    <t>Pasta arquivo, material: plástico, tipo: simples, largura: 245 mm, altura: 340 mm, cor: cristal, características adicionais 2: com grampo</t>
  </si>
  <si>
    <t>Pasta arquivo, material: plástico, tipo: sanfonada, largura: 245 mm, altura: 335 mm, cor: variada, características adicionais 1: 12 divisórias, fechamento com elástico</t>
  </si>
  <si>
    <t>Perfurador papel, material: metal, tipo: grande, tratamento superficial: pintado, capacidade perfuração: 70 fl, funcionamento: manual</t>
  </si>
  <si>
    <t>Pincel quadro branco , magnético, material: plástico, material ponta: feltro, tipo carga: recarregável, cor: azul, características adicionais: ponta retrátil 6 mm</t>
  </si>
  <si>
    <t>Pincel quadro branco , magnético, material: plástico, material ponta: feltro, tipo carga: recarregável, cor: preta, características adicionais: ponta retrátil 6 mm</t>
  </si>
  <si>
    <t>Pincel quadro branco , magnético, material: plástico, material ponta: feltro, tipo carga: recarregável, cor: vermelha, características adicionais: ponta retrátil 6 mm</t>
  </si>
  <si>
    <t>Pincel atômico, material: plástico rígido, tipo ponta: feltro, tipo carga: recarregável, cor tinta: azul, características adicionais: ponta grossa retangular chanfrada</t>
  </si>
  <si>
    <t>Pincel atômico, material: plástico, tipo ponta: chanfrada, tipo carga: recarregável, cor tinta: preta</t>
  </si>
  <si>
    <t>Pincel atômico, material: plástico, tipo ponta: chanfrada, cor tinta: vermelha, características adicionais: indeformável, aplicação: uso em papel e papelão</t>
  </si>
  <si>
    <t>Porta-lápis,clipe,lembrete, material: acrílico, cor: fumê, tipo: conjugado</t>
  </si>
  <si>
    <t>Bloco recado, material: papel, cor: amarela, largura: 76 mm, comprimento: 102 mm, características adicionais: auto-adesivo, removível, post-it, quantidade folhas: 100 un</t>
  </si>
  <si>
    <t>Prancheta portátil, material: acrílico, comprimento: 334 mm, largura: 234 mm, espessura: 2 mm, cor: fumê, características adicionais: com predendor de metal e cantos arrendondados</t>
  </si>
  <si>
    <t>Placa acrílica, material: acrílico cristal, comprimento: 21 cm, largura: 8 cm, espessura: 2,4 mm, características adicionais: prisma de mesa, dupla face</t>
  </si>
  <si>
    <t>Quadro branco, material: laminado melamínico brilhante, acabamento superficial moldura: alumínio, cor moldura: natural, finalidade: lançamento informações, largura: 80 cm, comprimento: 120 cm, características adicionais: magnético, tipo fixação: parede</t>
  </si>
  <si>
    <t>Risque rabisque, material: plástico e papel, tamanho: médio, cor moldura: preta</t>
  </si>
  <si>
    <t xml:space="preserve">RISK E RABISQUE </t>
  </si>
  <si>
    <t>Saco documento, material: plástico transparente, capacidade folhas: 10 fl, comprimento: 210 mm, largura: 297 mm, número furos: 11</t>
  </si>
  <si>
    <t>Tinta para carimbo, cor: preta, componentes: glicóis, corantes orgânicos e água, aspecto físico: líquido, aplicação: auto-entintado, capacidade frasco: 40 ml</t>
  </si>
  <si>
    <t>Mina grafite, material: grafita, diâmetro: 0,50 mm, comprimento: 60 mm, dureza: hb</t>
  </si>
  <si>
    <t>Mina grafite, material: grafita, diâmetro: 0,70 mm, comprimento: 60 mm, dureza: hb</t>
  </si>
  <si>
    <t>Etiqueta auto-adesiva, material: papel alcalino, cor: branca, formato: retangular, altura: 200 mm, largura: 288 mm, apresentação: 1 etiqueta por folha</t>
  </si>
  <si>
    <t>Etiqueta adesiva, material: papel alcalino, cor: branca, largura: 101,60 mm, aplicação: impressora laser e jato tinta, formato: retangular, altura: 33,90 mm, características adicionais 2: tamanho carta com 14 etiquetas</t>
  </si>
  <si>
    <t>Etiqueta adesiva, material: papel alcalino, cor: branca, largura: 50,80 mm, aplicação: impressora inkjet laser, altura: 101,60 mm, características adicionais 1: 10 etiquetas por folha</t>
  </si>
  <si>
    <t>Etiqueta adesiva, material: papel alcalino, cor: branca, largura: 106,36 mm, comprimento: 138,11 mm, formato: retangular, apresentação: 4 etiquetas por folha</t>
  </si>
  <si>
    <t>Etiqueta adesiva, material: papel alcalino, cor: branca, largura: 99 mm, aplicação: impressora jato tinta, características adicionais: folha a4 c, 8 etiquetas, altura: 67,70 mm</t>
  </si>
  <si>
    <t>Fita adesiva, material: papel, tipo: rolo fita contínua, largura: 62 mm, comprimento: 30,48 m, cor: branca, aplicação: impressora etiqueta marca brother ql-500 , ql-550, características adicionais: papel durável, referência dk 2205</t>
  </si>
  <si>
    <t>Descanso pés, material estrutura: pvc, material bandeja: emborrachada, tipo: ajustável, cor bandeja: preta, ajuste altura: 7 a 12 cm, largura: 31 cm, comprimento: 47 cm, características adicionais: base antiderrapante</t>
  </si>
  <si>
    <t>Pasta arquivo, material: plástico corrugado flexível, tipo: com abas, largura: 250 mm, altura: 335 mm, lombada: 20 mm, cor: azul, características adicionais: com elástico</t>
  </si>
  <si>
    <t>Pasta arquivo, material: plástico corrugado flexível, tipo: com abas, largura: 250 mm, altura: 335 mm, lombada: 55 mm, cor: azul, características adicionais: com elástico</t>
  </si>
  <si>
    <t>MARCADOR PARA TECIDO Nº 5 PRETA</t>
  </si>
  <si>
    <t>Marcador tubo, tipo: permanente, material: alumínio, material ponta: nylon, cor tinta: preta, aplicação: papel,plástico,vidro,tecido,cerâmica,madeira,metai, características adicionais: tinta à prova d'água e alto grau de resistencia</t>
  </si>
  <si>
    <t> 396038</t>
  </si>
  <si>
    <t>Caneta desenho arquitetônico, material corpo: plástico, material ponta: metal, características adicionais: tinta:nanquim , uso:descartavel, tamanho ponta: 0,05 mm, cor: preta</t>
  </si>
  <si>
    <t>PAPEL VEGETAL 120 GR FORMATO A3</t>
  </si>
  <si>
    <t>Papel a3, material: celulose vegetal, largura: 294 mm, comprimento: 420 mm, gramatura: 120 g,m2, cor: branca, tipo: reciclado</t>
  </si>
  <si>
    <t>Protetor crachá, material: pvc cristal, comprimento: 89 mm, altura: 58 mm, características adicionais: com furo para presilha, tipo: vertical</t>
  </si>
  <si>
    <t>Material necessário para atender ao Órgão no exercício de 2020.</t>
  </si>
  <si>
    <t>Capa processo, capa processo</t>
  </si>
  <si>
    <t>Carta gráfica, carta gráfica</t>
  </si>
  <si>
    <t>MOUSE PAD NORMAL</t>
  </si>
  <si>
    <t>Aquisição de açúcar refinado (COFEN/DF)</t>
  </si>
  <si>
    <t>Púrissima Água Mineral (compra de galões de água) - (COFEN/DF) PAD 787/2019</t>
  </si>
  <si>
    <t>CANETA ESFEROGRÁFICA PRETA ESCRITA MÉDIA</t>
  </si>
  <si>
    <t>Caneta esferográfica, material: plástico, quantidade cargas: 1 un, material ponta: plástico com esfera de tungstênio, tipo escrita: média, cor tinta: preta, características adicionais: com orifício lateral</t>
  </si>
  <si>
    <t>CADERNO DE ANOTAÇÃO PERSONALIZADO NA COR VERMELHO</t>
  </si>
  <si>
    <t>CADERNO DE ANOTAÇÃO PERSONALIZADO NA COR AZUL</t>
  </si>
  <si>
    <t>Água potável, tipo armazenagem: garrafão plástico retornável, norma padrão: padrão potabilidade de acordo c,legislação vigente</t>
  </si>
  <si>
    <t>UNIDADE ADMINISTRATIVA</t>
  </si>
  <si>
    <t>PLANILHA DE ORÇAMENTO DE 2020</t>
  </si>
  <si>
    <t>Setor de Almoxarifado - SALM</t>
  </si>
  <si>
    <t>Justificativa da aquisição</t>
  </si>
  <si>
    <t>código</t>
  </si>
  <si>
    <t>Compra planejada para: (mês/ano)</t>
  </si>
  <si>
    <t xml:space="preserve">quantidade </t>
  </si>
  <si>
    <t>unidade de medida</t>
  </si>
  <si>
    <t>Valor unitário</t>
  </si>
  <si>
    <t>Valor total</t>
  </si>
  <si>
    <t>PASSAGENS E DESPESAS COM LOCOMOÇÃO</t>
  </si>
  <si>
    <t>Passagens Aéreas</t>
  </si>
  <si>
    <t>P&amp;P Turismo Ltda-Me</t>
  </si>
  <si>
    <t>P&amp;P Turismo Ltda-Me (ou substituta)</t>
  </si>
  <si>
    <t>Setor de Passagens - SPASSAGENS</t>
  </si>
  <si>
    <t>Despesas Correntes</t>
  </si>
  <si>
    <t>Cód.</t>
  </si>
  <si>
    <t>Crédito Inicial</t>
  </si>
  <si>
    <t>-</t>
  </si>
  <si>
    <t>Patrocínios</t>
  </si>
  <si>
    <r>
      <t>Patrocínios (</t>
    </r>
    <r>
      <rPr>
        <b/>
        <sz val="11"/>
        <color rgb="FFFF0000"/>
        <rFont val="Calibri"/>
        <family val="2"/>
      </rPr>
      <t>para inst. SEM fins lucrativos</t>
    </r>
    <r>
      <rPr>
        <b/>
        <sz val="11"/>
        <color rgb="FF4F6128"/>
        <rFont val="Calibri"/>
        <family val="2"/>
      </rPr>
      <t>) - previsão de propostas de instituições públicas e entidades sem fins lucrativos</t>
    </r>
  </si>
  <si>
    <t>Cota de patrocínio - Estande + contrapartidas em eventos da Enfermagem e da Saúde</t>
  </si>
  <si>
    <t>Divulgar e propagar nome do Cofen em eventos nacionais e internacionais de Enfermagem e da área da saúde</t>
  </si>
  <si>
    <r>
      <t>Patrocínio - Congresso Internacional Tecnologia e Humanização na Comunicação em Saúde  - ConTIC 2020 - USP RIBEIRÃO PRETO - (</t>
    </r>
    <r>
      <rPr>
        <b/>
        <sz val="11"/>
        <color rgb="FFFF0000"/>
        <rFont val="Calibri"/>
        <family val="2"/>
      </rPr>
      <t>Inst. SEM fins lucrativos</t>
    </r>
    <r>
      <rPr>
        <b/>
        <sz val="11"/>
        <color rgb="FF4F6128"/>
        <rFont val="Calibri"/>
        <family val="2"/>
      </rPr>
      <t>)</t>
    </r>
  </si>
  <si>
    <t>Cota de patrocínio com aquisição de Estande + contrapartidas no ConTIC 2020</t>
  </si>
  <si>
    <t>Divulgar e propagar o nome do Cofen no ConTIC 2020</t>
  </si>
  <si>
    <r>
      <t>Patrocínio - XXXVI Congresso Nacional de Secretarias Municipais de Saúde - Conasems - (</t>
    </r>
    <r>
      <rPr>
        <b/>
        <sz val="11"/>
        <color rgb="FFFF0000"/>
        <rFont val="Calibri"/>
        <family val="2"/>
      </rPr>
      <t>Inst. SEM fins lucrativos</t>
    </r>
    <r>
      <rPr>
        <b/>
        <sz val="11"/>
        <color rgb="FF4F6128"/>
        <rFont val="Calibri"/>
        <family val="2"/>
      </rPr>
      <t>)</t>
    </r>
  </si>
  <si>
    <t>Cota de patrocínio com aquisição de Estande + contrapartidas no Congresso do Conasems</t>
  </si>
  <si>
    <t>Divulgar e propagar o nome do Cofen no Congresso dos gestores do SUS, empregadores da Enfermagem brasileira</t>
  </si>
  <si>
    <t>Patrocínio - South America Health Exhibition  - SAHE 2020</t>
  </si>
  <si>
    <t>Cota de patrocínio com aquisição de Estande + contrapartidas na SAHE 2020</t>
  </si>
  <si>
    <t>Divulgar e propagar o nome do Cofen na Feira Internacional de Saúde - SAHE 2020</t>
  </si>
  <si>
    <t>Patrocínio - 3º Congresso de Desenvolvimento Profissional em Enfermagem - CONDEPE</t>
  </si>
  <si>
    <t>Cota de patrocínio com aquisição de Estande + contrapartidas no 3º CONDEPE</t>
  </si>
  <si>
    <t>Divulgar e propagar o nome do Cofen no 3º CONDEPE</t>
  </si>
  <si>
    <t>Patrocínio - 12º Congresso Brasileiro Nursing - 3º Congresso Internacional de Feridas</t>
  </si>
  <si>
    <t>Cota de patrocínio com aquisição de Estande + contrapartidas no Congresso Nursing</t>
  </si>
  <si>
    <t>Divulgar e propagar o nome do Cofen no Congresso Nursing e de Feridas</t>
  </si>
  <si>
    <t>Patrocínio - II Congreso Mundial de Enfermería da Internacional Nursing Network (INN)</t>
  </si>
  <si>
    <t>Cota de patrocínio com aquisição de Estande + contrapartidas no II Congresso do INN</t>
  </si>
  <si>
    <t>Divulgar e propagar o nome do Cofen no Congresso do INN</t>
  </si>
  <si>
    <t>Patrocínio - 6º Congresso Brasileiro de Especialidades - Cbee</t>
  </si>
  <si>
    <t>Cota de patrocínio com aquisição de Estande + contrapartidas no 6º Cbee</t>
  </si>
  <si>
    <t>Divulgar e propagar o nome do Cofen no 6º Cbee</t>
  </si>
  <si>
    <t>Outros patrocínios - Previsão de propostas de outros eventos de Enfermagem</t>
  </si>
  <si>
    <t>Cota de patrocínio - Estande + contrapartidas</t>
  </si>
  <si>
    <t>Divulgar e propagar o nome do Cofen em eventos nacionais e internacionais de Enfermagem</t>
  </si>
  <si>
    <t>Serviços Gráficos e Editoriais</t>
  </si>
  <si>
    <t>Serviços de diagramação e impressão da Revista científica do Cofen - Enfermagem em Foco</t>
  </si>
  <si>
    <t>Contratação de serviços gráficos, sob demanda, de diagramação e impressão da Revista Cientifica do Cofen - Enfermagem em Foco</t>
  </si>
  <si>
    <t>Justifica-se a contratação dos serviços pela necessidade da revista Enfermagem em Foco avançar rumo à internacionalização, isso impõe desafios que exige versão impressa, com tiragem de 5mil exemplares/edição. Serviço indispensável para aumento da visibilidade do periódico e seu fator de impacto, além da manutenção e melhoria do Qualis/CAPES</t>
  </si>
  <si>
    <t>Periodicidade em 2020 será bimestral, portanto 06 edições/ano</t>
  </si>
  <si>
    <t>Serviços de editoração científica para Revista do Cofen - Enfermagem em Foco</t>
  </si>
  <si>
    <t>Contração de profissional especialista em editoração científica</t>
  </si>
  <si>
    <t xml:space="preserve">Justifica-se a contratação do profissional para editoração da revista, para atender a regularidade das publicações, periodicidade, permanência e melhoria na classificação Qualis Capes </t>
  </si>
  <si>
    <t>Serviço será pago mês a mês</t>
  </si>
  <si>
    <t>CLASSIFICAÇÃO CONTÁBIL PROPOSTA - ASSINATURAS DE PERIODICOS E ANUIDADES</t>
  </si>
  <si>
    <t>Aquisição de licença de plataforma de gestão editorial e submissão científica (ScholarOne) para Revista Enfermagem em Foco + manutenção</t>
  </si>
  <si>
    <t>Aquisição de licença anual ScholarOne + manutenção</t>
  </si>
  <si>
    <t xml:space="preserve">Justifica-se a aquisição do ScholarOne para a revista, de modo a atender a reguralidade das publicações, sua periodicidade, permanência e melhoria na classificação Qualis Capes </t>
  </si>
  <si>
    <t>O serviço será pago por ano - Estima-se um custo anual da ordem de 13.900 Dolar</t>
  </si>
  <si>
    <t>CLASSIFICAÇÃO CONTÁBIL PROPOSTA - SOFTWARES</t>
  </si>
  <si>
    <t>Aquisição de licença de programa de detecção de plágio (Turnitin) para Revista Científica do Cofen - Enfermagem em Foco</t>
  </si>
  <si>
    <t xml:space="preserve">Aquisição de licença de programa de detecção de plágio </t>
  </si>
  <si>
    <t>Justifica-se a aquisição do programa de detecção de plágio, para garantir a ética editorial na produção do conhecimento e evitar a publicação de manuscritos plagiados, garantindo a qualidade dos artigos publicados</t>
  </si>
  <si>
    <t>Serviço será pago por verificação de manuscritos - Estima-se custo  de 300usd/edição</t>
  </si>
  <si>
    <t>Serviços de tradução e revisão de línguas para a Revista Científica do Cofen - Enfermagem em Foco</t>
  </si>
  <si>
    <t>Contratação de empresa especializada para prestação de serviço sob demanda, de tradução e revisão da língua portuguesa para línguas inglesa e espanhola e versão e revisão de línguas inglesa e espanhola para a língua portuguesa</t>
  </si>
  <si>
    <t xml:space="preserve">Justifica-se a contratação dos serviços de modo a garantir a qualidade dos artigos, a reguralidade das publicações, sua periodicidade, permanência e melhoria na classificação Qualis Capes </t>
  </si>
  <si>
    <t>O serviço será pago a cada edição</t>
  </si>
  <si>
    <t>CLASSIFICAÇÃO CONTÁBIL PROPOSTA -  Serviços Relacionados a Tecnologia da Informação</t>
  </si>
  <si>
    <t>Serviços de marcação e conversão XML para Revista Científica do Cofen - Enfermagem em Foco</t>
  </si>
  <si>
    <t>Contratação de serviços, sob demanda, de marcação e conversão XML</t>
  </si>
  <si>
    <t xml:space="preserve">Justifica-se a contratação dos serviços para a revista, de modo a atender a reguralidade das publicações, sua periodicidade, permanência e melhoria na classificação Qualis Capes </t>
  </si>
  <si>
    <t>Serviços de Publicidade</t>
  </si>
  <si>
    <t>Klimt Agência de publicidade - PAD 267/2016</t>
  </si>
  <si>
    <t>Contratação de Serviços de Publicidade</t>
  </si>
  <si>
    <t>Os serviços foram contratados para divulgação das ações e realizações, projetos e campanhas de valorização da profissão, com objetivo de difundir nossa mensagem e consolidar a imagem institucional do Cofen perante a Enfermagem e sociedade em geral</t>
  </si>
  <si>
    <t>Serviços sob demanda</t>
  </si>
  <si>
    <t>Serviço de Pesquisa</t>
  </si>
  <si>
    <t>Pesquisa de Enfermagem no Contexto da Atenção Primária à Saúde - PAD 733 - 2018</t>
  </si>
  <si>
    <t>Pesquisa - Práticas de Enfermagem no Contexto da Atenção Primária à Saúde</t>
  </si>
  <si>
    <t>O estudo visa analisar e compreender as práticas profissionais dos enfermeiros que atuam na Atenção primária à Saúde no Brasil</t>
  </si>
  <si>
    <r>
      <t xml:space="preserve">Os serviços serão pagos conforme plano de trabalho - </t>
    </r>
    <r>
      <rPr>
        <b/>
        <sz val="11"/>
        <color rgb="FFFF0000"/>
        <rFont val="Calibri"/>
        <family val="2"/>
      </rPr>
      <t>Previsão de desembolso em 2020 de R$ 1.366.000,00</t>
    </r>
    <r>
      <rPr>
        <b/>
        <sz val="11"/>
        <color theme="9" tint="-0.249977111117893"/>
        <rFont val="Calibri"/>
        <family val="2"/>
      </rPr>
      <t>. A pesquisa terá duraçao de 03 anos e o projeto global é de R$ 3.024.400,00</t>
    </r>
  </si>
  <si>
    <t>Pesquisa  Perfil de Competência dos Enfermeiros - PAD 1111 - 2018</t>
  </si>
  <si>
    <t>Pesquisa - Perfil de Competências para Enfermeiros líderes de todas as regiões do Brasil</t>
  </si>
  <si>
    <t>O estudo visa estabelecer um Perfil de Competências necessárias aos enfermeiros líderes/responsáveis técnicos de serviços de Enfermagem, essenciais para o avanço das práticas de enfermagem e atuação segura, com vistas a uniformização das ações dos enfermeiros e direcionamento dos programas de educação permanente</t>
  </si>
  <si>
    <r>
      <t>Os serviços serão pagos conforme plano de trabalho -</t>
    </r>
    <r>
      <rPr>
        <b/>
        <sz val="11"/>
        <color rgb="FFFF0000"/>
        <rFont val="Calibri"/>
        <family val="2"/>
      </rPr>
      <t xml:space="preserve"> Previsão de desembolso em 2020 de R$ 700.000,00</t>
    </r>
    <r>
      <rPr>
        <b/>
        <sz val="11"/>
        <color theme="9" tint="-0.249977111117893"/>
        <rFont val="Calibri"/>
        <family val="2"/>
      </rPr>
      <t>. A pesquisa terá duração de 02 anos e o projeto global ficará na ordem de R$ 1.400.000,00</t>
    </r>
  </si>
  <si>
    <t>Pesquisa - Diagnóstico das Condições de vida e trabalho dos profissionais de Enfermagem - PAD 964 - 2019</t>
  </si>
  <si>
    <t>Diagnóstico das condições de vida e trabalho dos profissionais de Enfermagem</t>
  </si>
  <si>
    <t>O estudo visa apresentar um diagnóstico aprofundado e detalhado da real situação da Enfermagem, em nível nacional e no âmbito do Sistema de Saúde Brasileiro, com vistas a formulação de medidas e políticas assertivas na solução e redução dos danos e efeitos deletério, sofrimento e adoecimento físico e psíquico dos profissionais de Enfermagem</t>
  </si>
  <si>
    <r>
      <t xml:space="preserve">Os serviços serão pagos conforme plano de trabalho - </t>
    </r>
    <r>
      <rPr>
        <b/>
        <sz val="11"/>
        <color rgb="FFFF0000"/>
        <rFont val="Calibri"/>
        <family val="2"/>
      </rPr>
      <t>Projeto ainda não foi aprovado pelo plenário</t>
    </r>
  </si>
  <si>
    <t>Educação Permanente</t>
  </si>
  <si>
    <t>Mestrado Institucional -  Sistema COFEN/Conselhos Regionais - UNB - PAD 305 - 2017</t>
  </si>
  <si>
    <t>Capacitação Profissional em nível de Mestrado Profissional para o capital humano do Sistema Cofen/Conselhos Regionais de Enfermagem</t>
  </si>
  <si>
    <t>A contratação teve por objetivo proporcionar capacitação dos empregados públicos e conselheiros do Sistema Cofen/Conselhos Regionais de Enfermagem por meio de projetos e programas de desenvolvimento integral de pessoas, despertando a reflexão crítica acerca de seu desempenho em relação aos objetivos institucionais, com vistas a produção de conhecimentos que contribuam para qualificação e melhoria da gestão e das atividades desenvolvidas pelos Conselhos de Enfermagem</t>
  </si>
  <si>
    <t>Em 2020 será liberado a última parcela do contrato</t>
  </si>
  <si>
    <t>Mestrado profissional em Enfermagem - CAPES - Cofen - fomento a pós-graduação - PAD 537 - 2014</t>
  </si>
  <si>
    <t>Cooperação técnico científica visando a formação de recursos humanos em enfermagem e desenvolvimento de pesquisa cientifica e tecnológica, na modalidade de mestrado profissional stricto sensu</t>
  </si>
  <si>
    <t>Acordo de Cooperação visa qualificação profissional de Enfermeiros na modalidade de Mestrado Profissional, com capacidade analítica, crítica e de transformação de suas práticas para o fortalecimento do SUS com o intuito de otimizar a assistência de enfermagem à população brasileira, e, com elas, poderem sistematizar suas intervenções seguras nos processos de adoecimento que enfrentam no cotidiano laboral dentro dos contextos institucionais. O Cofen financia, com verba de custeio, oferta de 500 vagas aos Programas de Pós-Graduação selecionados por edital, com vistas à produção de conhecimento e proposições inovadoras para a Enfermagem, pautados em conhecimentos e habilidades de pesquisa, tendo como foco a Sistematização da Assistência de Enfermagem</t>
  </si>
  <si>
    <t>Em 2020 estimamos  oferta de 120 vagas do mestrado "sede" (valor aluno (R$ 25.000,00 - libração de 50% no primeiro ano = R$ 1.500.000,00) e 60 vagas do "fora de sede" (valor aluno R$ 30.000,00 - liberação de 50% no primeiro ano = R$ 900.000,00)</t>
  </si>
  <si>
    <t>Proficiência - Programa de aprimoramento e atualização profissional - PAD 220 - 2019</t>
  </si>
  <si>
    <t>Contratação de empresa especializada para operacionalização do novo Proficiência</t>
  </si>
  <si>
    <t>Justifica-se a contratação dos serviços para operacionalização do novo Programa Proficiência, empreendimento de grande envergadura do Cofen e dos Conselhos Regionais, que ultrapassou o objetivo de aprimorar uma competência específica, alcançada na realização de um curso. O Proficiência criou um novo paradigma para o conceito do que é “estar atualizado”, mostrando aos profissionais que o agir com proficiência só é possível aos que se preparam para auferir competência, habilidade e perícia, e só o estudo possibilita alcançar este estágio profissional e trabalhar com este desempenho, especialmente considerando que o Cofen exige cuidado de qualidade e segurança ao paciente e ao profissional de Enfermagem. O projeto visa a atualiação de 50 mil profissionais de Enfermagem por ano, com oferta de cursos com carga horária de 40h.</t>
  </si>
  <si>
    <t>Levando em consideração os valores praticados nos contratos anteriores de idêntico ou similar objeto, estima-se custo anual da ordem de 2.5 milhões de reais, tendo em vista que o novo Proficiência será licitado na modalidade de pregão com prova de conceito</t>
  </si>
  <si>
    <t>Outros projetos</t>
  </si>
  <si>
    <t>Contração multiplataforma de conteúdo - Cofen Play - PAD 1088 - 2019</t>
  </si>
  <si>
    <t>Contratação de empresa para fornecimento de multiplataforma digital de disponibilização de conteúdo, capacitação e atendimento para abrigar a iniciativa Cofen Play</t>
  </si>
  <si>
    <t>Justifica-se a contratação dos serviços, tendo em vista a necessidade de oferecermos aos profissionais de Enfermagem uma multiplataforma de conteúdos que congregue informações e serviços, um canal direto, com vistas a ampliação do conhecimento aos profissionais, sem limites, a partir dos conteúdos que serão disponibilizados pela iniciativa “Cofen Play” com cursos de atualização, acesso a informações, livros, revistas, palestras, entre outros. Trazer os profissionais para o lado do Sistema para alcançarmos um estágio de harmonia entre profissionais e conselhos de Enfermagem</t>
  </si>
  <si>
    <t>Será feito enquete de consulta aos profissionais de Enfermagem a respeito do interesse no acesso aos conteúdos e serviços, sem custos. Tomando por base o Proficiência, estima-se que no mínimo 50 profissionais tenham interesse</t>
  </si>
  <si>
    <t>5º Seminário de Comunicação do Sistema Cofen/Conselhos Regionais de Enfermagem</t>
  </si>
  <si>
    <t>Contratação de palestrantes para o 5º Seminário de Comunicação do Sistemas Cofen/Conselhos Regionais de Enfermagem</t>
  </si>
  <si>
    <t>Justica-se a contratação de palestrantes para o 5º Seminário de Alinhamento Estratégico em Comunicação, dado a necessidade de reunirmos assessores e porta-vozes do Sistema Cofen/Conselhos Regionais, com o propósito de alinhar o discurso e as ações de comunicação realizadas pelas assessorias, além de rever e atualizar as diretrizes a serem seguidas pelas assessorias</t>
  </si>
  <si>
    <t>Contrataçao Serviços de Comunicação Corporativa - PAD 751 - 2018</t>
  </si>
  <si>
    <t>Contratação de serviços de comunicação corporativa</t>
  </si>
  <si>
    <t>A Contratação dos serviços justifica-se com base em levantamento realizado pela Assessoria de Comunicação que constatou forte oscilação nas demandas, com picos que exigiriam a presença de vários jornalistas e profissionais de mídia digital, de modo que a contratação de empresa especializada nesses serviços se revela a alternativa de maior economicidade, permitindo que se acompanhe regularmente essa variação</t>
  </si>
  <si>
    <t>Serviços sob demanda. Valor global do contrato será de 1.800.000,00 reais de reais</t>
  </si>
  <si>
    <t>Assessoria de Comunicação - ASCOM</t>
  </si>
  <si>
    <t>Valor total Solicitado (despesa corrente + despesa de capital)</t>
  </si>
  <si>
    <t>Material de Processamento de Dados (especificar cada item)</t>
  </si>
  <si>
    <t>Suprimentos de informática</t>
  </si>
  <si>
    <t>Lista de insumos de TIC</t>
  </si>
  <si>
    <t>Material Elétrico e Eletrônico (especificar cada item)</t>
  </si>
  <si>
    <t>Serviços de cópia e Reprodução de Documentos</t>
  </si>
  <si>
    <t>Winpress (outsourcing de impressão)</t>
  </si>
  <si>
    <t>Serviços de Outsourcing de impressão/Cofen-DF</t>
  </si>
  <si>
    <t>Winpress (outsourcing COFEN) ou subst.</t>
  </si>
  <si>
    <t>Impressione Com. Máq. Equipto. (impressão RJ)</t>
  </si>
  <si>
    <t>Serviços de Outsourcing de impressão/Cofen-RJ</t>
  </si>
  <si>
    <t>Impressione Com. Máq. Equipto. (impressão RJ -ou subst)</t>
  </si>
  <si>
    <t>Marcos S. Biudes-Me (outsourcing MUSEU)</t>
  </si>
  <si>
    <t>Serviços de Outsourcing de impressão/Munean</t>
  </si>
  <si>
    <t>Marcos S. Biudes-Me (outsourcing MUSEU) - subst</t>
  </si>
  <si>
    <t>Biro de Digitalização</t>
  </si>
  <si>
    <t>Serviços de digitalização de documentos do Cofen</t>
  </si>
  <si>
    <t>Locação de Bens Móveis (exceto veículos)</t>
  </si>
  <si>
    <t>RA Telecom Ltda (locação de central de comutação telef)</t>
  </si>
  <si>
    <t>Locação do PABX para as comunicações do COFEN</t>
  </si>
  <si>
    <t>RA Telecom Ltda (locação de central de comutação telef) ou substituta</t>
  </si>
  <si>
    <t>ITSCON TECNOLOGIA LTDA -ME (comut. Telef. COFEN/RJ)</t>
  </si>
  <si>
    <t>Locação do PABX para as comunicações do Escritório RJ</t>
  </si>
  <si>
    <t>ITSCON TECNOLOGIA LTDA -ME (comut. Telef. COFEN/RJ) ou subsituta</t>
  </si>
  <si>
    <t>BM Alarmes (monitoramento MUSEU)</t>
  </si>
  <si>
    <t>Alarme do Museu</t>
  </si>
  <si>
    <t>BM Alarmes (monitoramento MUSEU) ou substituta</t>
  </si>
  <si>
    <t>Serviços Relacionados a TI (internet , informática e locação de software)</t>
  </si>
  <si>
    <t>Quatto Tecnologia Ltda (seviço de e-mail)</t>
  </si>
  <si>
    <t>Ferramenta de E-mail/Colaboração</t>
  </si>
  <si>
    <t>Quatto Tecnologia Ltda (seviço de e-mail) - SUBST</t>
  </si>
  <si>
    <t>Global Web Outsourcing do Brasil S.A (PORTAL cofen) ou SUBSTITUTA</t>
  </si>
  <si>
    <t>Hospedagem em núvem</t>
  </si>
  <si>
    <t>ORACLE S.A</t>
  </si>
  <si>
    <t>Suporte técnico do Banco de Dados Oracle (Genf)</t>
  </si>
  <si>
    <t>ORACLE S.A ou substit.</t>
  </si>
  <si>
    <t>GMAES Telecom Ltda-Me (internet - cofen/RJ)</t>
  </si>
  <si>
    <t>Link de internet Cofen-RJ</t>
  </si>
  <si>
    <t>GMAES Telecom Ltda-Me (internet - cofen/RJ) ou subst.</t>
  </si>
  <si>
    <t>Networld Provedor (Link de Internet - COFEN/DF)</t>
  </si>
  <si>
    <t>Link de internet Cofen-DF</t>
  </si>
  <si>
    <t>Networld Provedor (Link de Internet - COFEN/DF) ou subst</t>
  </si>
  <si>
    <t>Renovação dos Dominios de Internet - COFEN</t>
  </si>
  <si>
    <t>Domínios de Internet do Cofen</t>
  </si>
  <si>
    <t>ISH (Segurança da Informação)</t>
  </si>
  <si>
    <t>SOC (Centro de Operações de Segurança)</t>
  </si>
  <si>
    <t xml:space="preserve">ISH (Segurança da Informação) ou subst. </t>
  </si>
  <si>
    <t>Enoque (pentest)</t>
  </si>
  <si>
    <t>Serviço de Teste de Intrusão/Penetração - Pentest</t>
  </si>
  <si>
    <t>Enoque (pentest) ou subst.</t>
  </si>
  <si>
    <t xml:space="preserve">Implanta Informática Ltda </t>
  </si>
  <si>
    <t>Marcelo cadastrou (sistema contábil, financeiro, patrimonial</t>
  </si>
  <si>
    <t>Implanta Informática Ltda - RENOVAÇÃO</t>
  </si>
  <si>
    <t>Marcelo cadastrou</t>
  </si>
  <si>
    <t>Implanta Informática Ltda - Aquisição de novos módulos</t>
  </si>
  <si>
    <t>Equipamentos de CFTV (BA)</t>
  </si>
  <si>
    <t>BM Alarmes (monitoramento MUSEU) ou SUBSTITUTA</t>
  </si>
  <si>
    <t>ITS TELECOMUNICAÇÕES (internet -  MUSEU)</t>
  </si>
  <si>
    <t>Serviço de Internet Museu - BA</t>
  </si>
  <si>
    <t>ITS TELECOMUNICAÇÕES (internet -  MUSEU) ou substi.</t>
  </si>
  <si>
    <t>Serviços de Monitoramento - cofen/DF</t>
  </si>
  <si>
    <t>Monitoramento por câmeras e instalação de catracas eletrônicas</t>
  </si>
  <si>
    <t>Maciel Assessores S/S LTDA</t>
  </si>
  <si>
    <t xml:space="preserve">Realização de Auditoria Externa no Ambiente Computacional do Processo Eleitoral </t>
  </si>
  <si>
    <t xml:space="preserve">The Perfect Link </t>
  </si>
  <si>
    <t xml:space="preserve">SCYTL Soluções de segurança </t>
  </si>
  <si>
    <t>Serviço Informatizado para Eleição Eletrônica Via Internet</t>
  </si>
  <si>
    <t>Implantar solução para aderir a LGPD (Lei Geral de Proteção a Dados)</t>
  </si>
  <si>
    <t>Serviços técnicos para mapeamento e desenvolvimento no novo sistema único</t>
  </si>
  <si>
    <t>Manutenção e Conservação de Bens Móveis e Imóveis/Instalações</t>
  </si>
  <si>
    <t>Bacone (MANUTENÇÃO PABX) - MUSEU</t>
  </si>
  <si>
    <t>Serviços de contínuos de manutenção preventiva, corretiva e assistência técnica</t>
  </si>
  <si>
    <t>Bacone (MANUTENÇÃO PABX) - MUSEU - ou substituto</t>
  </si>
  <si>
    <t>Manutenção de nobreaks do CPD</t>
  </si>
  <si>
    <t>Serviço de suporte para a nova central telefônica</t>
  </si>
  <si>
    <t>Congressos, Convenções, Conferências, Seminários, Simpósios e Reuniões</t>
  </si>
  <si>
    <t>Encontro de TI</t>
  </si>
  <si>
    <t>CRÉDITO INICIAL DESPESA CAPITAL</t>
  </si>
  <si>
    <t>OBRAS E INSTALAÇÕES</t>
  </si>
  <si>
    <t>Estudos e Projetos</t>
  </si>
  <si>
    <t>Obras em Andamento</t>
  </si>
  <si>
    <t>Instalações</t>
  </si>
  <si>
    <t>Outras Obras e Instalações</t>
  </si>
  <si>
    <t>EQUIPAMENTOS E MATERIAL PERMANENTE</t>
  </si>
  <si>
    <t>Aparelhos de Cine, Foto e Som</t>
  </si>
  <si>
    <t>Aquisição de CFTV (departamento Administrativo)</t>
  </si>
  <si>
    <t>01 Tela LCD ou LED (TV) de no mínimo 55"</t>
  </si>
  <si>
    <t>Equipamentos de Informática</t>
  </si>
  <si>
    <t>Aquisição de desktops novos</t>
  </si>
  <si>
    <t>Suprimento de Informática - TI (equipamentos)</t>
  </si>
  <si>
    <t>Vide item da linha 4 - Suprimentos de TI</t>
  </si>
  <si>
    <t>01 monitor de vídeo LCD ou LED de 21,5" ou até 23"</t>
  </si>
  <si>
    <t>Aquisição de notebooks novos</t>
  </si>
  <si>
    <t>Aquisição de equipamento de informática para o Museu (lousa eletrônica)</t>
  </si>
  <si>
    <t>Modernizar ativos de rede/cabeamento de rede(COFEN-DF) - switch</t>
  </si>
  <si>
    <t>Implantar Sistema de gestão Eletrônica de documentos- GED (solução de escaner e mesa digitalizadora)</t>
  </si>
  <si>
    <t>Aquisição de escaner para uso no CDM e Protocolo</t>
  </si>
  <si>
    <t>Aquisição de memória para aumento de capacidade do CPD</t>
  </si>
  <si>
    <t>Aquisição de Tablets para fiscais dos Regionais (Utilizar novo Sistema Único)</t>
  </si>
  <si>
    <t>Aquisição de Tablet para os fiscais dos Regionais</t>
  </si>
  <si>
    <t>Aquisição de baterias para o Nobreak</t>
  </si>
  <si>
    <t>Máquinas e Equipamentos</t>
  </si>
  <si>
    <t>No-break para relógios de ponto</t>
  </si>
  <si>
    <t>Aparelhos e Equipamentos de Comunicação (especificar)</t>
  </si>
  <si>
    <t>Aquisição de central telefônica e periféricos - Cofen</t>
  </si>
  <si>
    <t>Aquisição de Central Telefônica PABX IP, aparelhos telefônicos e aparelho telefonista</t>
  </si>
  <si>
    <t>Software</t>
  </si>
  <si>
    <t>Implantar sistema para automatizar mapeamento/fluxo processos (ASPLAN, Processo ético, demandas TCU sobre TI e demais áreas)</t>
  </si>
  <si>
    <t>Novo sistema único (Repetindo os valores caso não seja concluído em 2019)</t>
  </si>
  <si>
    <t>Modernizar ativos de rede/cabeamento de rede(COFEN-DF)</t>
  </si>
  <si>
    <t>Software para edição de Imagem (ASCOM e TI)</t>
  </si>
  <si>
    <t>Aquisição de certificado digital SSL</t>
  </si>
  <si>
    <t>Sistema de Painel de indicadores</t>
  </si>
  <si>
    <t>Contratação de manutenção para equipamentos DELL do datacenter</t>
  </si>
  <si>
    <t>Manutenção e garantia dos equipamento do DataCenter do Cofen</t>
  </si>
  <si>
    <t>Outros Materiais Permanentes (a especificar)</t>
  </si>
  <si>
    <r>
      <t xml:space="preserve">Implantar solução para aderir a LGPD (Lei Geral de Proteção a Dados) - </t>
    </r>
    <r>
      <rPr>
        <b/>
        <sz val="11"/>
        <color rgb="FFFF0000"/>
        <rFont val="Calibri "/>
      </rPr>
      <t>serviço</t>
    </r>
  </si>
  <si>
    <r>
      <t xml:space="preserve">Implantar sistema para automatizar mapeamento/fluxo processos (ASPLAN, Processo ético, demandas TCU sobre TI e demais áreas) - </t>
    </r>
    <r>
      <rPr>
        <b/>
        <sz val="11"/>
        <color rgb="FFFF0000"/>
        <rFont val="Calibri "/>
      </rPr>
      <t>serviço</t>
    </r>
  </si>
  <si>
    <r>
      <t xml:space="preserve">Contratação de suporte para software (virtualização, backup, sistema operacional, SGBD) do CPD - </t>
    </r>
    <r>
      <rPr>
        <b/>
        <sz val="11"/>
        <color rgb="FFFF0000"/>
        <rFont val="Calibri "/>
      </rPr>
      <t>SERVIÇO</t>
    </r>
  </si>
  <si>
    <r>
      <t>Software para edição de Imagem (ASCOM,TI ) -</t>
    </r>
    <r>
      <rPr>
        <b/>
        <sz val="11"/>
        <color rgb="FFFF0000"/>
        <rFont val="Calibri "/>
      </rPr>
      <t xml:space="preserve"> locação de software</t>
    </r>
  </si>
  <si>
    <r>
      <t xml:space="preserve">Software para edição de planta/desenho vetorial (engenheiro) - </t>
    </r>
    <r>
      <rPr>
        <b/>
        <sz val="11"/>
        <color rgb="FFFF0000"/>
        <rFont val="Calibri "/>
      </rPr>
      <t>locação de software</t>
    </r>
  </si>
  <si>
    <t>Departamento de Tecnologia da Informação e Comunicação - DTIC</t>
  </si>
  <si>
    <t>Locação de Bens Imóveis</t>
  </si>
  <si>
    <t>Itamaraty Imóveis Ltda (ALUGUEL DEPÓSITO COFEN)</t>
  </si>
  <si>
    <t>Itamaraty Imóveis Ltda (renovação ou subst.)</t>
  </si>
  <si>
    <t>Instituto Feminino da Bahia (aluguel Museu)</t>
  </si>
  <si>
    <t>Seguro de Bens Móveis e Imóveis</t>
  </si>
  <si>
    <t>Allianz Seguros Ltda (Seguro automóveis usados)</t>
  </si>
  <si>
    <t>Seguro Imóvel MUSEU</t>
  </si>
  <si>
    <t>Seguro IMÓVEL COFEN DF</t>
  </si>
  <si>
    <t>Seguro IMÓVEL COFEN RJ</t>
  </si>
  <si>
    <t>Outros Serviços Serviços PJ</t>
  </si>
  <si>
    <t>Serviços de Mudança</t>
  </si>
  <si>
    <t>Serviços Técnicos Profissionais</t>
  </si>
  <si>
    <t>Avaliação de imóveis</t>
  </si>
  <si>
    <t>Taxa de Condomínio</t>
  </si>
  <si>
    <t>Administradora de Imóveis Masset</t>
  </si>
  <si>
    <t>OBRIGAÇÕES TRIBUTÁRIAS E CONTRIBUTIVAS</t>
  </si>
  <si>
    <t>IPTU</t>
  </si>
  <si>
    <t>IPTU Imóveis do RJ + TLP</t>
  </si>
  <si>
    <t>IPTU (SIA)</t>
  </si>
  <si>
    <t>IPTU Museu Ana Nery</t>
  </si>
  <si>
    <t>Taxas Diversas e Encargos</t>
  </si>
  <si>
    <t>Licenciamento e seguro obrigatório veículos usados</t>
  </si>
  <si>
    <t>Taxa de Incêncio (RJ)</t>
  </si>
  <si>
    <t>Taxas diversas MUSEU (TFF DE ALVARÁ)</t>
  </si>
  <si>
    <t>INVESTIMENTOS</t>
  </si>
  <si>
    <t>INVESTIMENTOS - APLICAÇÕES DIRETAS</t>
  </si>
  <si>
    <t>Biblioteca</t>
  </si>
  <si>
    <t>Obras de Arte</t>
  </si>
  <si>
    <t>Móveis e Utensílios</t>
  </si>
  <si>
    <t>Veículos</t>
  </si>
  <si>
    <t>Aparelhos e Utensílios de Copa e Cozinha</t>
  </si>
  <si>
    <t>Aparelhos de Medição e Orientação</t>
  </si>
  <si>
    <t>Aparelhos e Equipamentos de Comunicação</t>
  </si>
  <si>
    <t>Outros Materiais Permanentes</t>
  </si>
  <si>
    <t>Aquisição de Imóveis</t>
  </si>
  <si>
    <t>Setor de Patrimônio - SPAT</t>
  </si>
  <si>
    <t>Congresso Brasileiro dos Conselhos de Enfermagem - CBCENF</t>
  </si>
  <si>
    <t>Seminário Institucional</t>
  </si>
  <si>
    <t>Assembléia de Presidentes</t>
  </si>
  <si>
    <t>Seminário Administrativo</t>
  </si>
  <si>
    <t>SENAFIS</t>
  </si>
  <si>
    <t>Rop´s Externas</t>
  </si>
  <si>
    <t>I Seminário Nacional de Atenção à Saúde</t>
  </si>
  <si>
    <t>Lançamento da Campanha Nursing Now</t>
  </si>
  <si>
    <t>Seminário Nacional de Enfermagem Forense</t>
  </si>
  <si>
    <t>Treinamentos/Capacitações/Palestras</t>
  </si>
  <si>
    <t>Uso do SEI</t>
  </si>
  <si>
    <t>Treinamento de Brigadistas</t>
  </si>
  <si>
    <t>Serviço de Alimentação</t>
  </si>
  <si>
    <t>Xavier Lima Comercial Eireli</t>
  </si>
  <si>
    <t>Xavier Lima Comercial Eireli ou empresa substituta</t>
  </si>
  <si>
    <t>Assessoria de Cerimonial e Eventos - ASCE</t>
  </si>
  <si>
    <r>
      <t>Valor restante ref: PAD 1212/2018 para ser utilizado em 2020 (BSB, RJ,MUNEAN) da rubrica</t>
    </r>
    <r>
      <rPr>
        <b/>
        <sz val="11"/>
        <color rgb="FF000000"/>
        <rFont val="Calibri"/>
        <family val="2"/>
      </rPr>
      <t xml:space="preserve"> Material de expediente</t>
    </r>
  </si>
  <si>
    <r>
      <t>Valor restante ref: PAD 1212/2018  para ser utilizado em 2020 (BSB, RJ,MUNEAN) da rubrica</t>
    </r>
    <r>
      <rPr>
        <b/>
        <sz val="11"/>
        <color rgb="FF000000"/>
        <rFont val="Calibri"/>
        <family val="2"/>
      </rPr>
      <t xml:space="preserve"> Material de Acondicionamento e Embalagem</t>
    </r>
  </si>
  <si>
    <r>
      <t xml:space="preserve">Valor restante ref: PAD 1212/2018  para ser utilizado em 2020 (BSB,MUNEAN) da rubrica </t>
    </r>
    <r>
      <rPr>
        <b/>
        <sz val="11"/>
        <color rgb="FF000000"/>
        <rFont val="Calibri"/>
        <family val="2"/>
      </rPr>
      <t>Material Elétrico e Eletrônico</t>
    </r>
  </si>
  <si>
    <r>
      <t>Valor restante ref: PAD 1212/2018  para ser utilizado em 2020 (BSB, RJ,MUNEAN) da rubrica</t>
    </r>
    <r>
      <rPr>
        <b/>
        <sz val="11"/>
        <color rgb="FF000000"/>
        <rFont val="Calibri"/>
        <family val="2"/>
      </rPr>
      <t xml:space="preserve"> Material de Copa e cozinha</t>
    </r>
  </si>
  <si>
    <r>
      <t xml:space="preserve">Valor restante ref: PAD 1212/2018  para ser utilizado em 2020 (BSB) da rubrica </t>
    </r>
    <r>
      <rPr>
        <b/>
        <sz val="11"/>
        <color rgb="FF000000"/>
        <rFont val="Calibri"/>
        <family val="2"/>
      </rPr>
      <t>Serviços gráficos e editoriais</t>
    </r>
  </si>
  <si>
    <r>
      <t>Valor restante ref: PAD 1212/2018  para ser utilizado em 2020 (RJ) da rubrica M</t>
    </r>
    <r>
      <rPr>
        <b/>
        <sz val="11"/>
        <color rgb="FF000000"/>
        <rFont val="Calibri"/>
        <family val="2"/>
      </rPr>
      <t>aterial de processamento de dados</t>
    </r>
  </si>
  <si>
    <r>
      <t>Valor restante ref: PAD 913/2019 (</t>
    </r>
    <r>
      <rPr>
        <b/>
        <sz val="11"/>
        <rFont val="Calibri"/>
        <family val="2"/>
      </rPr>
      <t>AÇUCAR REFINADO</t>
    </r>
    <r>
      <rPr>
        <sz val="11"/>
        <rFont val="Calibri"/>
        <family val="2"/>
      </rPr>
      <t>) para ser utilizado em 2020</t>
    </r>
  </si>
  <si>
    <r>
      <t>Valor restante ref: PAD 913/2019 (</t>
    </r>
    <r>
      <rPr>
        <b/>
        <sz val="11"/>
        <rFont val="Calibri"/>
        <family val="2"/>
      </rPr>
      <t>CAFÉ</t>
    </r>
    <r>
      <rPr>
        <sz val="11"/>
        <rFont val="Calibri"/>
        <family val="2"/>
      </rPr>
      <t>) para ser utilizado em 2020</t>
    </r>
  </si>
  <si>
    <t>Orçamento 2020  - CONSELHO FEDERAL DE ENFERMAGEM - (Detalhamento IN 01/2019-PAC)</t>
  </si>
  <si>
    <t>Código
CATSER</t>
  </si>
  <si>
    <t xml:space="preserve">Quantidade
Itens </t>
  </si>
  <si>
    <t>Quantidade Diárias</t>
  </si>
  <si>
    <t>Quantidade  Total</t>
  </si>
  <si>
    <t>Unidade de medida</t>
  </si>
  <si>
    <t>Valor Unitário</t>
  </si>
  <si>
    <t>Valor total por item</t>
  </si>
  <si>
    <t xml:space="preserve">Valor Total </t>
  </si>
  <si>
    <t>Grau de prioridade</t>
  </si>
  <si>
    <t>Centro de Convenções</t>
  </si>
  <si>
    <t>Locação de espaço físico I</t>
  </si>
  <si>
    <t>Locação de espaços físicos com  28 salas e auditorios e mais  6 espaços físicos para alimentaçao/refeicões</t>
  </si>
  <si>
    <t>Diária</t>
  </si>
  <si>
    <t>Alto</t>
  </si>
  <si>
    <t>Palestrantes</t>
  </si>
  <si>
    <t>Palestrantes Geral</t>
  </si>
  <si>
    <t>Por Contrato</t>
  </si>
  <si>
    <t>Palestrantes Encotro Juridico</t>
  </si>
  <si>
    <t>Seminário Institucional, Seminário Administrativo e Seminário de Fiscalização</t>
  </si>
  <si>
    <t>Hospedagem</t>
  </si>
  <si>
    <t>Quartos Singles</t>
  </si>
  <si>
    <t>Hospedagem em quartos singles, duplos e triplos com fornecimento de café damanhã</t>
  </si>
  <si>
    <t>Diárias</t>
  </si>
  <si>
    <t>Quartos Duplos</t>
  </si>
  <si>
    <t>Quartos Triplos</t>
  </si>
  <si>
    <t>Espaços Físicos</t>
  </si>
  <si>
    <t>Auditório</t>
  </si>
  <si>
    <t>Em formato escolar com capacidade para 150 pessoas, com tamanho minimo de 190m² disponibilidade física e elétrica para instalação de equipamentos; estrutura de iluminação; mesas/cadeiras.</t>
  </si>
  <si>
    <t xml:space="preserve">Sala de Reunião </t>
  </si>
  <si>
    <t>Em formato “U” que acomode 20 pessoas. Com disponibilidade física e elétrica para instalação de equipamentos e iluminação, tamanho minimo de 70m²</t>
  </si>
  <si>
    <t>Sala da Coordenação</t>
  </si>
  <si>
    <t>Em formato “U” que acomode 10 pessoas. Com disponibilidade física e elétrica para instalação de equipamentos e iluminação, tamanho minimo de 35m²</t>
  </si>
  <si>
    <t>Sala Para Palestra Governança Corporativa no Setor Público</t>
  </si>
  <si>
    <t xml:space="preserve">Em formato escolar com capacidade para 50 pessoas. Com disponibilidade física e elétrica para instalação de equipamentos e iluminação, tamanho minimo de 115m² </t>
  </si>
  <si>
    <t>Infraestrutura Física</t>
  </si>
  <si>
    <t xml:space="preserve">Microfone wireless </t>
  </si>
  <si>
    <t>Com pilha e/ou bateria reserva suficientes para todo o período do evento.</t>
  </si>
  <si>
    <t>Microfone com fio</t>
  </si>
  <si>
    <t>Tipo gooseneck com pilha ou bateria reserva suficientes para todo o período do evento.</t>
  </si>
  <si>
    <t>Tribuna</t>
  </si>
  <si>
    <t>Aprox. 1,20m altura x 50 cm larg x 40cm prof</t>
  </si>
  <si>
    <t xml:space="preserve">Projetor multimídia </t>
  </si>
  <si>
    <t>Com potência e resolução compatíveis.</t>
  </si>
  <si>
    <t xml:space="preserve">Tela de 150 </t>
  </si>
  <si>
    <t xml:space="preserve">Passador de slides </t>
  </si>
  <si>
    <t xml:space="preserve">Notebook </t>
  </si>
  <si>
    <t>Mesa do tipo pranchao</t>
  </si>
  <si>
    <t>Cadeira acolchoada e ergonômica</t>
  </si>
  <si>
    <t>Estrutura metálica (box truss)</t>
  </si>
  <si>
    <t>Para fundo de palco, com fornecimento de materiais para poder instalar uma lona vinílica com acabamento em ilhós, de aproximadamente 4m x 3m</t>
  </si>
  <si>
    <t>Sistema de sonorização</t>
  </si>
  <si>
    <t>Para os microfones, adequado ao ambiente, com caixa (s) de som e todos os cabos necessários, inclusive cabo de áudio que conecte a saída de áudio do notebook (conexão P2 fêmea) com a entrada de áudio da mesa de som, com comprimento que atenda à disposição adequada do equipamento (notebook) que será utilizado no espaço contratado, e não interfira na disposição e/ou comunicação entre o notebook e o projetor.</t>
  </si>
  <si>
    <t>Notebook</t>
  </si>
  <si>
    <t>Sala de Reunião</t>
  </si>
  <si>
    <t>Impressora colorida</t>
  </si>
  <si>
    <t>A Laser ou a jato de tinta, c/ cartuchos (tinta colorida e preta)</t>
  </si>
  <si>
    <t>Arranjo de flores</t>
  </si>
  <si>
    <t>Tipo jardineira para mesa diretora</t>
  </si>
  <si>
    <t>Arranjos com tripés</t>
  </si>
  <si>
    <t>Com flores naturais para entrada do auditório</t>
  </si>
  <si>
    <t>Arranjos florais</t>
  </si>
  <si>
    <t>Tipo buffet para mesa de centro ou de canto</t>
  </si>
  <si>
    <t>Acesso à internet</t>
  </si>
  <si>
    <t>Com pelo menos 150 MB de velocidade em todos os espaços do evento.</t>
  </si>
  <si>
    <t>Infraestrutura de Recursos Humanos</t>
  </si>
  <si>
    <t>Técnico em informática</t>
  </si>
  <si>
    <t>Técnico de equipamentos audiovisuais</t>
  </si>
  <si>
    <t>Recepcionista</t>
  </si>
  <si>
    <t>Alimentação</t>
  </si>
  <si>
    <t>Almoço</t>
  </si>
  <si>
    <t>Almoço para 150 pessoas, sendo 1 por dia</t>
  </si>
  <si>
    <t xml:space="preserve">Jantar </t>
  </si>
  <si>
    <t>Jantar para 150 pessoas, sendo 1 por dia (um dia a menos por conta do jantar institucional)</t>
  </si>
  <si>
    <t>Coffee Break</t>
  </si>
  <si>
    <t>Coffee break para 150 pessoas (Auditório), sendo 2 por dia. Um no período matutino e outro no período vespertino.
Ccoffee break para 5 pessoas (Sala da Coodenação) sendo 1  por dia.</t>
  </si>
  <si>
    <t>Por pessoa</t>
  </si>
  <si>
    <t>Serviço de coquetel volante</t>
  </si>
  <si>
    <t>Recepção de boas vindas para os 150 participantes</t>
  </si>
  <si>
    <t xml:space="preserve">Mesa de Café </t>
  </si>
  <si>
    <t>Mesa de café para para 150 pessoas (Auditório) sendo 1 por dia</t>
  </si>
  <si>
    <t>Mesa de café para 10 pessoas (Sala da Cordenção) sendo 1 por dia. Para 20 pessoas (Sala de Reunião) sendo 1 por dia e para 150 pessoas (Auditório) sendo 1 por dia</t>
  </si>
  <si>
    <t>Jantar Institucional</t>
  </si>
  <si>
    <t>Jantar com cardápio para 150 pessoas sentadas, com contratação de atração cultural, realizado em ambiente privativo, com montagem de som e espaço para dançar.</t>
  </si>
  <si>
    <t>Palestrantes Treinamento</t>
  </si>
  <si>
    <t>Material Institucional/gráfico</t>
  </si>
  <si>
    <t>OBS: Os códigos para os materiais são do CATMAT</t>
  </si>
  <si>
    <t>CATMAT</t>
  </si>
  <si>
    <t>Camiseta</t>
  </si>
  <si>
    <t>Modelo tradicional com gola redonda unissex; em malha 100% algodão;</t>
  </si>
  <si>
    <t>Unidades</t>
  </si>
  <si>
    <t>Painel/Lona de Fundo de Palco com instalação</t>
  </si>
  <si>
    <t xml:space="preserve">Impressão solvente em lona 440g; Dimensão média de 4m x 3m; Com acabamento em ilhós para ser fixado em estrutura box truss; 5/0 cores. </t>
  </si>
  <si>
    <t>Unidade</t>
  </si>
  <si>
    <t>Banner</t>
  </si>
  <si>
    <t xml:space="preserve">Lona vinílica branca fosca; Dimensão: 1,5 m (altura) x 0,90 cm (largura). Impressão: digital, 4/0 cores, 1.000 dpi, em apenas um lado; Acabamento: refilado, com bastão superior e inferior em PVC na cor branca, com ponteira e cordão de nylon. </t>
  </si>
  <si>
    <t>Crachá</t>
  </si>
  <si>
    <t xml:space="preserve">Em cartão PVC, acompanhando cordão de silicone com ponteira metálica, já instalada no crachá; Dimensão: 12,5 cm x 9,7 cm; Impressão: 4/0 cores em serigrafia. </t>
  </si>
  <si>
    <t>Folder de Programação</t>
  </si>
  <si>
    <t xml:space="preserve">Papel couchê mate, 180 g; no formato A4; acabamento uma dobra; 4x4 cores. </t>
  </si>
  <si>
    <t>Pasta com bloco de anotações</t>
  </si>
  <si>
    <t>Pasta ecológica, modelo kraft. Frente e verso com logo do evento e do Cofen. Com elástico lateral para fecho, bolso interno grande no mesmo material, com bloco autocolante com aproximadamente 25 folhas. Deverá ter suporte e caneta de papelão (clip e ponteira de plástico na cor azul) e bloco com aproximadamente 25 folhas pautadas com verso liso (tamanho A4).</t>
  </si>
  <si>
    <t>Canetas</t>
  </si>
  <si>
    <t>Caneta esferográfica de metal personalizada acionada com giro no corpo e ponta Touch Screen; em saco plástico individual. Cor: prateada, acabamento cromado brilhante; Impressão com a logo do Cofen.</t>
  </si>
  <si>
    <t>Transporte</t>
  </si>
  <si>
    <t>Ônibus</t>
  </si>
  <si>
    <t>Tipo executivo ou panorâmico, com quilometragem livre, em bom estado de conservação e limpeza, ano de fabricação igual ou superior a 2015, com motorista, com aproximadamente 50 poltronas reclináveis e confortáveis com cinto de segurança e apoio para os pés, ar condicionado, bagageiros amplos, janelas lacradas, som ambiente, TV, geladeira elétrica abastecida com água mineral em copos lacrados e descartáveis, reabastecida pela Contratada quando necessário durante o trajeto e sanitário limpo, higienizado, com papel higiênico, papel toalha e sabonete líquido, também reabastecido pela Contratada sempre que necessário durante o trajeto.</t>
  </si>
  <si>
    <t>Diarias</t>
  </si>
  <si>
    <t>Van</t>
  </si>
  <si>
    <t>Tipo executiva, com quilometragem livre, em bom estado de conservação e limpeza, ano de fabricação igual ou superior a 2015, com motorista, com aproximadamente 16 poltronas reclináveis e confortáveis com cinto de segurança, ar condicionado, com bagageiro para malas, som ambiente e TV.</t>
  </si>
  <si>
    <t xml:space="preserve">Hospedagem </t>
  </si>
  <si>
    <t>Quartos Triplo</t>
  </si>
  <si>
    <t>Espaço Físico</t>
  </si>
  <si>
    <t>Com capacidade mínima para 300 pessoas sentadas em formato escolar; com tamanho minimo de 670m², livre de colunas; pé direito mínimo de 3,5m, a fim de garantir acessibilidade e mobilidade dos participantes, além de disponibilidade física e elétrica para instalação de equipamentos e estrutura de iluminação.</t>
  </si>
  <si>
    <t>Em formato escolar com capacidade para 50 pessoas. Com disponibilidade física e elétrica para instalação de equipamentos e iluminaçãocom, tamanho minimo de 115m²</t>
  </si>
  <si>
    <t>Sala para Coordenação</t>
  </si>
  <si>
    <t>Sala da Presidência</t>
  </si>
  <si>
    <t xml:space="preserve">Sala para Oficina </t>
  </si>
  <si>
    <t xml:space="preserve">Com capacidade para 70 pessoas sentadas em formato escolar,  com disponibilidade física e elétrica para instalação de equipamentos e iluminação, tamanho minimo de 160m² </t>
  </si>
  <si>
    <t>Salão para Jantar Institucional</t>
  </si>
  <si>
    <t>Com capacidade para 350 pessoas sentadas, em formato banquete com tamanho minimo de 400m², ambiente privativo, com espaço para circulação.</t>
  </si>
  <si>
    <t>Sala Para Treinamento Convênios</t>
  </si>
  <si>
    <t>Em formato escolar com capacidade para 60 pessoas, com disponibilidade física e elétrica para instalação de equipamentos e iluminação, tamanho minimo de 135m²</t>
  </si>
  <si>
    <t>Sala para Palestra Governança Corporativa no Setor Público</t>
  </si>
  <si>
    <t xml:space="preserve">Em formato escolar com capacidade para 50 pessoas, com disponibilidade física e elétrica para instalação de equipamentos e iluminação, tamanho minimo de 115m² </t>
  </si>
  <si>
    <t>Sala Para Encontro de Tesoureiros</t>
  </si>
  <si>
    <t>Sala Para Encontro Juridico</t>
  </si>
  <si>
    <t xml:space="preserve">Mesa plenária em “I” </t>
  </si>
  <si>
    <t>Capacidade para seis pessoas sentadas</t>
  </si>
  <si>
    <t xml:space="preserve">Microfone wireless (sem fio) </t>
  </si>
  <si>
    <t>Com pilhas e/ou baterias reservas em quantidade suficiente para todo o período de duração do evento</t>
  </si>
  <si>
    <t>Tipo Gooseneck, com pilhas e/ou baterias reservas em quantidade suficiente para todo o período de duração do evento.</t>
  </si>
  <si>
    <t xml:space="preserve">Pedestal de chão </t>
  </si>
  <si>
    <t>Para microfone</t>
  </si>
  <si>
    <t>Tribuna em acrílico</t>
  </si>
  <si>
    <t>Aprox. 1,20m altura x 50 cm largura x 40 cm prof.</t>
  </si>
  <si>
    <t xml:space="preserve">Tela de 180 </t>
  </si>
  <si>
    <t>Plataforma (praticável)</t>
  </si>
  <si>
    <t>Para mesa plenária, medindo no mínimo 6m x 3m x 0,5m, caso não haja palco fixo, com estrutura em madeira e acarpetado preto.</t>
  </si>
  <si>
    <t>Cadeira acolchoada e ergonômica.</t>
  </si>
  <si>
    <t>Mesa do tipo pranchão</t>
  </si>
  <si>
    <t>Devidamente forradas, com montagem em formato escolar para acomodar 300 pessoas, sendo até 3 pessoas por pranchão.</t>
  </si>
  <si>
    <t>Passador de slides</t>
  </si>
  <si>
    <t>Com bateria suficiente para duração do evento.</t>
  </si>
  <si>
    <t>Sala para Encontro Juridico</t>
  </si>
  <si>
    <t>Com potência e resolução compatíveis</t>
  </si>
  <si>
    <t>Com pilhas e/ou baterias reservas em quantidade suficiente para todo o período de duração do evento.</t>
  </si>
  <si>
    <t>Projetor multimídia</t>
  </si>
  <si>
    <t>Tela de 180”</t>
  </si>
  <si>
    <t>Sala da
Coordenação</t>
  </si>
  <si>
    <t>Impressora multifuncional</t>
  </si>
  <si>
    <t>Colorida a laser ou jato de tinta, com cartucho/tonner em quantidade suficiente para o evento (tinta colorida e preta)</t>
  </si>
  <si>
    <t>Cadeiras acolchoadas e ergonômicas</t>
  </si>
  <si>
    <t>Sala da
Presidência</t>
  </si>
  <si>
    <t xml:space="preserve">Colorida a laser ou jato de tinta, com cartucho/tonner em quantidade suficiente para o evento (tinta colorida e preta) </t>
  </si>
  <si>
    <t>Mesa</t>
  </si>
  <si>
    <t>Atração cultural</t>
  </si>
  <si>
    <t>Acesso à internet via wireless (sem fio)</t>
  </si>
  <si>
    <t>Internet</t>
  </si>
  <si>
    <t>Credenciamento</t>
  </si>
  <si>
    <t>Impressora para etiquetas</t>
  </si>
  <si>
    <t>Decoração</t>
  </si>
  <si>
    <t>Tipo jardineira para mesa plenária, a ser substituído, se houver necessidade, devido à quantidade de dias de evento.</t>
  </si>
  <si>
    <t xml:space="preserve">Arranjo com tripés </t>
  </si>
  <si>
    <t>Para a entrada do auditório e foyer, a serem substituídos, se houver necessidade, devido à quantidade de dias de evento.</t>
  </si>
  <si>
    <t>Aparador de ferro</t>
  </si>
  <si>
    <t>Com tampo de vidro, mínimo de 1,2 m de comprimento.</t>
  </si>
  <si>
    <t xml:space="preserve">Arranjos de flores </t>
  </si>
  <si>
    <t>Tipo centro de mesa, montados em base de cipó ou cachepô, com suporte em vidro ou madeira, apenas para utilização durante todo o jantar Institucional</t>
  </si>
  <si>
    <t xml:space="preserve">Arranjo de flores </t>
  </si>
  <si>
    <t>Tipo buffet, apenas para utilização durante todo o jantar institucional</t>
  </si>
  <si>
    <t>Receptivo de Aeroporto</t>
  </si>
  <si>
    <t>Tradução Simultânea Audiovisual Francês/Português/Espanhol</t>
  </si>
  <si>
    <t>As refeições (almoço e jantar) deverão ser servidas conforme as quantidades estimadas e devem possuir bebidas não alcoólicas como água, refrigerantes (normal e diet) e suco de frutas inclusas em todas as refeições, livremente</t>
  </si>
  <si>
    <t>Jantar</t>
  </si>
  <si>
    <t>Caráter institucional e o seu cardápio deverá ser definido junto à Contratada, com antecedência mínima de 72 horas, mediante aprovação da organização do evento</t>
  </si>
  <si>
    <t xml:space="preserve">Coffee Break </t>
  </si>
  <si>
    <t>Serviço de coffee break para 10 pessoas, no período vespertino, a ser servido na Sala da Coordenação.</t>
  </si>
  <si>
    <t>Coquetel</t>
  </si>
  <si>
    <t>Serviço de coffee break/coquetel de boas vindas para 300 pessoas, tipo buffet</t>
  </si>
  <si>
    <t>Mesa de Café</t>
  </si>
  <si>
    <t>Sala</t>
  </si>
  <si>
    <t>Modelo tradicional masculina e feminina, com manga curta, gola tradicional; 100% algodão</t>
  </si>
  <si>
    <t>Pasta</t>
  </si>
  <si>
    <t>Pasta arquivo com abertura superior em zíper; zíper com puxador no mesmo material da pasta; Material: courino; impressão em baixo relevo. Dimensões aproximadas: 38 cm x 27,5 cm.</t>
  </si>
  <si>
    <t>Caderno de anotações</t>
  </si>
  <si>
    <t>Caderno de anotações com capa dura e espiral duplo na cor preta ou prata. Material: Capa dura com papelão revestido e acabamento em plastificação com brilho; miolo em gramatura de 75 g, com 90 folhas em papel sem pauta e impressão 4/4 cores da logomarca; elástico fixado na lateral direita da contracapa para suporte de caneta.</t>
  </si>
  <si>
    <t>Painel/Lona de Fundo de Palco com instalação em estrutura metalon</t>
  </si>
  <si>
    <t xml:space="preserve">Impressão solvente em lona 440g; Dimensão aproximada de 4m x 8m; 4/0 cores; Com acabamento adequado para ser fixado em painel de estrutura metalon, com altura de base a 50 cm do chão. </t>
  </si>
  <si>
    <t xml:space="preserve">Material e impressão: lona vinílica branca fosca com acabamento refilado, instalada em suporte retrátil tipo roll up em alumínio na cor prata; Dimensões: 0,8 m x 2 m. Impressão: 4/0 cores. </t>
  </si>
  <si>
    <t xml:space="preserve">Dimensões: 11 cm x 15 cm; Material: cartão em PVC flexível, acompanhando cordão de tecido sem estampa na cor azul marinho, com ponteira metálica, tipo jacaré, já instalada no crachá. Impressão: 4/0 cores. </t>
  </si>
  <si>
    <t xml:space="preserve">Material: papel couchê mate, 150g, acabamento com 2 (duas) dobras; Dimensão: folha A4; 4x4 cores. </t>
  </si>
  <si>
    <t>Caneta</t>
  </si>
  <si>
    <t xml:space="preserve">Material: caneta esferográfica personalizada acionada com giro no corpo; em saco plástico individual. Cor: prateada, acabamento cromado brilhante. </t>
  </si>
  <si>
    <t>Palestrantes Treinamentos</t>
  </si>
  <si>
    <t>Palestrantes para Encontro Juridico</t>
  </si>
  <si>
    <t>Tipo executivo ou panorâmico, em bom estado de conservação e limpeza, ano de fabricação igual ou superior a 2014, com motorista, com aproximadamente 50 poltronas reclináveis e confortáveis com cinto de segurança e apoio para os pés, ar condicionado, bagageiros amplos e janelas lacradas.</t>
  </si>
  <si>
    <t>Micro-Ônibus</t>
  </si>
  <si>
    <t>Em bom estado de conservação e limpeza, ano de fabricação igual ou superior a 2014, com motorista, com poltronas reclináveis e confortáveis (de 22 a 30 poltronas), com cinto de segurança, com ar condicionado e bagageiros amplos.</t>
  </si>
  <si>
    <t>Em bom estado de conservação e limpeza, ano de fabricação igual ou superior a 2014, com motorista, com poltronas reclináveis e confortáveis (aproximadamente 16 poltronas), com cinto de segurança e apoio para os pés, ar condicionado, bagageiros amplos e janelas lacradas. Para transporte de conselheiros e equipe de apoio do evento.</t>
  </si>
  <si>
    <t>Carro de Passeio</t>
  </si>
  <si>
    <t>Em bom estado de conservação e limpeza, ano de fabricação igual ou superior a 2014, com motorista, ar condicionado, som ambiente, com bagageiro com capacidade mínima de 300 litros.</t>
  </si>
  <si>
    <t>Carro Executivo</t>
  </si>
  <si>
    <t>Tipo sedan, em bom estado de conservação e limpeza, ano de fabricação igual ou superior a 2014, com motorista, ar condicionado, som ambiente, com bagageiro com capacidade mínima de 400 litros</t>
  </si>
  <si>
    <t>12 º Seminário de Fiscalização - SENAFIS</t>
  </si>
  <si>
    <t>Quartos singles</t>
  </si>
  <si>
    <t>Quartos duplos</t>
  </si>
  <si>
    <t>Quartos triplos</t>
  </si>
  <si>
    <t>Espaço Fisico</t>
  </si>
  <si>
    <t xml:space="preserve">Capacidade para 40 pessoas sentadas em formato universitário. Com disponibilidade física e elétrica para instalação de equipamentos e iluminação, tamanho minimo de 90m² </t>
  </si>
  <si>
    <t>Sala para Oficina</t>
  </si>
  <si>
    <t xml:space="preserve">Capacidade para 70 pessoas sentadas em formato escolar,  com disponibilidade física e elétrica para instalação de equipamentos e iluminação, tamanho minimo de 160m² </t>
  </si>
  <si>
    <t>Em formato “U” que acomode 20 pessoas. Com disponibilidade física e elétrica para instalação de equipamentos e iluminação, tamanho minimo de 65m²</t>
  </si>
  <si>
    <t>Capacidade para 12 pessoas sentadas em formato “U”. Com disponibilidade física e elétrica para instalação de equipamentos e iluminação, tamanho minimo de 30m²</t>
  </si>
  <si>
    <t xml:space="preserve">Sala da Presidência </t>
  </si>
  <si>
    <t>Sala de Equipamentos/Materiais</t>
  </si>
  <si>
    <t xml:space="preserve">Aproximadamente 12m² para armazenamento e preparação os materiais e equipamentos para realização do evento, preferencialmente próximo à Sala da Coordenação. </t>
  </si>
  <si>
    <t>Espaço para Jantar Institucional</t>
  </si>
  <si>
    <t xml:space="preserve">Capacidade para 350 pessoas sentadas, em formato banquete com tamanho minimo de 400m², mesas para 6 ou 8 lugares, em ambiente privativo, com espaço para circulação. </t>
  </si>
  <si>
    <t>Mesa plenária em “I”</t>
  </si>
  <si>
    <t>Mesa plenária em “I” que comporte 6 (seis) pessoas sentadas em cadeiras acolchoadas e ergonômicas, localizada em palco fixo medindo, aproximadamente, 8m (comprimento) x 6m (profundidade) x 60 cm (altura), ou espaço disponível nessas dimensões para montagem de praticável.</t>
  </si>
  <si>
    <t>Microfone wireless (sem fio)</t>
  </si>
  <si>
    <t>Pedestal de chão</t>
  </si>
  <si>
    <t>Aprox. 1,20m altura x 50 cm largura x 40 cm prof</t>
  </si>
  <si>
    <t>Tela de 180''</t>
  </si>
  <si>
    <t>Mastros para bandeiras</t>
  </si>
  <si>
    <t xml:space="preserve">Prismas em acrílico </t>
  </si>
  <si>
    <t xml:space="preserve">Plataforma (praticável) </t>
  </si>
  <si>
    <t>Estrutura em treliça boxtruss q20</t>
  </si>
  <si>
    <t>Medindo 4m (comprimento) x 3m (altura) para aplicação de lona vinílica, 4x3m, com acabamento em ilhós.</t>
  </si>
  <si>
    <t xml:space="preserve">Cadeira confortável e ergonômica </t>
  </si>
  <si>
    <t>Sistema de sonorização para os microfones</t>
  </si>
  <si>
    <t>Adequado ao ambiente, com caixa (s) de som e todos os cabos necessários, inclusive cabo de áudio que conecte a saída de áudio do notebook (conexão P2 fêmea) com a entrada de áudio da mesa de som, com comprimento que atenda à disposição adequada do equipamento (notebook) que será utilizado no espaço contratado, e não interfira na disposição e/ou comunicação entre o notebook e o projetor.</t>
  </si>
  <si>
    <t>Sala Oficina 1</t>
  </si>
  <si>
    <t>Tela de 150</t>
  </si>
  <si>
    <t xml:space="preserve">Sala Oficina 2 </t>
  </si>
  <si>
    <t>Cadeira formato universitário</t>
  </si>
  <si>
    <t>Mesa em formato “U”</t>
  </si>
  <si>
    <t>Que comporte doze pessoas.</t>
  </si>
  <si>
    <t>Cadeira confortável para compor a mesa em “U”</t>
  </si>
  <si>
    <t>Impressora multifuncional colorida a laser ou jato de tinta</t>
  </si>
  <si>
    <t>Com cartuchos/tonners em quantidade suficiente para o evento (tinta colorida e preta).</t>
  </si>
  <si>
    <t>Mesa de reunião</t>
  </si>
  <si>
    <t>Que comporte com doze pessoas.</t>
  </si>
  <si>
    <t>Cadeira confortável e ergonômica</t>
  </si>
  <si>
    <t>Mesa para o Presidente</t>
  </si>
  <si>
    <t xml:space="preserve">Impressora multifuncional </t>
  </si>
  <si>
    <t>Para entrega do Prêmio Fiscalize medindo 2m (comprimento) x 2m (altura) para aplicação de lona vinílica, 2x2m, com acabamento em ilhós.</t>
  </si>
  <si>
    <t>Com pilhas e/ou baterias reservas em quantidade suficiente para todo o período de duração do jantar.</t>
  </si>
  <si>
    <t xml:space="preserve">Tribuna em acrílico </t>
  </si>
  <si>
    <t>Sistema de sonorização e iluminação</t>
  </si>
  <si>
    <t>Para apresentação do prêmio e durante toda a
realização do jantar, compatível e adequado ao ambiente.</t>
  </si>
  <si>
    <t>Com pelo menos 50 MB de velocidade, download e upload (full duplex), em todos os espaços do auditório.</t>
  </si>
  <si>
    <t xml:space="preserve">Acesso à internet via wireless (sem fio) </t>
  </si>
  <si>
    <t>Para divulgação ao vivo deverá estar disponível internet 10/10MB ou 5MB de download e 10 MB de upload.</t>
  </si>
  <si>
    <t>Notebooks ou ultrabooks</t>
  </si>
  <si>
    <t>Com tampo de vidro, mínimo de 1,2 m de comprimento, apenas para utilização durante todo o jantar institucional</t>
  </si>
  <si>
    <t>Arranjos de flores</t>
  </si>
  <si>
    <t>Tipo centro de mesa, montados em base de cipó ou cachepô, com suporte em vidro ou madeira, apenas para utilização durante todo o jantar institucional</t>
  </si>
  <si>
    <t>Apenas para utilização durante todo o jantar institucional</t>
  </si>
  <si>
    <t>As refeições (almoço e jantar) deverão ser servidas conforme as quantidades estimadas e devem possuir bebidas não alcoólicas como água, refrigerantes (normal e diet) e suco de frutas e sobremesas (doces e frutas)  inclusas em todas as refeições, livremente.</t>
  </si>
  <si>
    <t>O jantar tem caráter institucional e o seu cardápio deverá ser definido junto à Contratada, com antecedência mínima de 72 horas, mediante aprovação da organização do evento. Para 350 pessoas</t>
  </si>
  <si>
    <t>Coquetel deverá ser servido 2 (dois) sabores de coquetel sem álcool. tempo de serviço que diferencia o Coquetel do Coffee Break devendo ser reposto durante todo o tempo determinado (2horas)</t>
  </si>
  <si>
    <t>Salas</t>
  </si>
  <si>
    <t>Palestrantes Treinamentos e Oficinas</t>
  </si>
  <si>
    <t>Material Institucional/gráfico a especificar abaixo</t>
  </si>
  <si>
    <t>Camisa</t>
  </si>
  <si>
    <t>Mochila/Bolsa</t>
  </si>
  <si>
    <t>Mochila/bolsa para notebook até 15.6’’ polegadas, multifuncional, com alça de mão anatômica, alça tiracolo regulável com ombreira acolchoada, anatômicas e forradas, tira para prender a mochila na mala, compartimento para notebook, forrado, com espuma 5 mm, presilha de cadarço e velcro, bolso externo com porta caneta, porta cartões, porta objeto, fechamento com zíper, cursores de metal especial, anhados. Material: Nylon 580 liso resinado e plastificado na cor preto, forro nylon resinado, nylon cinza claro, detalhes em PU preto, espuma 5 mm, cadarço misto 4 mm, forro nylon resina Cor: preto; Dimensões: 45 x 31 x 10</t>
  </si>
  <si>
    <t>Caderno de Anotações</t>
  </si>
  <si>
    <t>Caderno de anotações com capa dura e espiral duplo na cor preta ou prata. Material: capa dura com papelão revestido e acabamento em plastificação com brilho; miolo em ramatura de 75 g, com 90 folhas em papel sem pauta e impressão 4/4 cores da logomarca do evento conforme arte a ser enviada; elástico fixado na lateral direita da contracapa, na cor azul marinho, para suporte de caneta. Cor: faixa lateral de 03 cm próxima ao espiral na cor azul, conforme modelo em anexo.
Dimensões: 21 cm x 16 cm.</t>
  </si>
  <si>
    <t xml:space="preserve">Caneta esferográfica de metal personalizada acionada com giro no corpo e ponta Touch Screen; em saco plástico individual. </t>
  </si>
  <si>
    <t>Material e impressão: impressão solvente em lona vinílica, 4x3m, brilho, 440 gramas, impressão digital, resolução de 1440 dpis, 4 cores, com acabamento em ilhós. Dimensão: 4m x 08m; Arquivo fornecido pelo COFEN em 4/0 cores.</t>
  </si>
  <si>
    <t>Material e impressão: lona vinílica branca fosca com acabamento refilado, instalada em suporte retrátil tipo roll up em alumínio na cor prata; Dimensão: 0,8 m x 2,0 m; Arquivo fornecido pelo COFEN em 4/0 cores</t>
  </si>
  <si>
    <t>Dimensão: 11 cm x 15 cm;
Material: Cartão em PVC flexível acompanhando cordão de tecido com estampa na cor azul marinho com a logo do Cofen, com ponteira metálica, tipo jacaré, já instalada no crachá; Impressão: 4/0 cores.</t>
  </si>
  <si>
    <t>Dimensão: folha A4; Material: papel couchê mate, 150 g, acabamento com 03 dobras; Impressão: 4/4 cores.</t>
  </si>
  <si>
    <t>Colete</t>
  </si>
  <si>
    <t>Modelo: 100% Poliéster; Laterais: com elástico;
Gola: careca; Tamanhos: P, M, G, GG (conforme especificações/cores a serem enviadas pelo Cofen); Embalagem: a empresa vencedora deverá entregar cada camiseta individualmente embalada em saco plástico transparente, armazenadas em caixa de papelão com
conteúdo devidamente identificado (tamanho e quantidade de peças);</t>
  </si>
  <si>
    <t>Tipo executivo ou panorâmico, em bom estado de conservação e limpeza, ano de fabricação igual ou superior a 2014, com motorista, com aproximadamente 50 poltronas reclináveis e confortáveis com cinto de segurança e apoio para os pés, ar condicionado, bagageiros amplos e janelas lacradas. Para transporte dos participantes do evento.</t>
  </si>
  <si>
    <t>Em bom estado de conservação e limpeza, ano de fabricação igual ou superior a 2014, com motorista, com poltronas reclináveis e confortáveis (de 22 a 30 poltronas), com cinto de segurança, com ar condicionado, e bagageiros amplos. Para transporte de conselheiros e equipe de apoio do evento.</t>
  </si>
  <si>
    <t>Tipo sedan médio, em bom estado de conservação e limpeza, ano de fabricação igual ou superior a 2014, com motorista, ar condicionado, som ambiente, com bagageiro com capacidade mínima de 400 litros. Para transporte da diretoria da autarquia, palestrantes, coordenação do evento e / ou casos emergenciais.</t>
  </si>
  <si>
    <t>Tipo sedan compacto, em bom estado de conservação e limpeza, ano de fabricação igual ou superior a 2014, com motorista, ar condicionado, som ambiente, com bagageiro com capacidade mínima de 300 litros. Para transporte da diretoria da autarquia, palestrantes, coordenação do evento e / ou casos emergenciais.</t>
  </si>
  <si>
    <t>I Seminário Nacional de Atenção a Saúde</t>
  </si>
  <si>
    <t>Com capacidade mínima para 200 pessoas sentadas em formato escolar; com tamanho minimo de 670m², livre de colunas; pé direito mínimo de 3,5m, a fim de garantir acessibilidade e mobilidade dos participantes, além de disponibilidade física e elétrica para instalação de equipamentos e estrutura de iluminação.</t>
  </si>
  <si>
    <t>Sala para Secretaria</t>
  </si>
  <si>
    <t xml:space="preserve">Modelo tradicional masculina e feminina, com manga curta, gola tradicional; 100% algodão; </t>
  </si>
  <si>
    <t>Devidamente forradas, com montagem em formato escolar para acomodar 100 pessoas, sendo até 3 pessoas por pranchão.</t>
  </si>
  <si>
    <t>Assembléia de Presidentes 1º 2020</t>
  </si>
  <si>
    <t>Sala de reunião</t>
  </si>
  <si>
    <t>Impressora Multifuncional</t>
  </si>
  <si>
    <t>Projetor Multimidia</t>
  </si>
  <si>
    <t>Tela de 150"</t>
  </si>
  <si>
    <t>Microfones (sem fio)</t>
  </si>
  <si>
    <t>Mesa para opoio</t>
  </si>
  <si>
    <t>Coffe Break</t>
  </si>
  <si>
    <t>Assembléia dos Presidentes 2º 2020</t>
  </si>
  <si>
    <t>com acesso a Internet para projeção e sonorização compatível com o ambiente e equipamentos</t>
  </si>
  <si>
    <t>ROP's Externas</t>
  </si>
  <si>
    <t>ROP - Janeiro</t>
  </si>
  <si>
    <t>Espaços</t>
  </si>
  <si>
    <t>Sala para ROP</t>
  </si>
  <si>
    <t xml:space="preserve">Em formato “U” com capacidade para 45 pessoas, com disponibilidade física e elétrica para instalação de equipamentos e iluminação, tamanho minimo de 110m² </t>
  </si>
  <si>
    <t>Infraestrutura Fisica</t>
  </si>
  <si>
    <t>Mesa em formato "U"</t>
  </si>
  <si>
    <t>Com capacidade para 18 pessoas</t>
  </si>
  <si>
    <t>Devidamente forradas, com montagem em formato escolar para acomodar 30 pessoas, sendo até 3 pessoas por pranchão.</t>
  </si>
  <si>
    <t xml:space="preserve">Mesa simples para colocar os processos </t>
  </si>
  <si>
    <t xml:space="preserve">Projetor Multimidia </t>
  </si>
  <si>
    <t>Por Unidade</t>
  </si>
  <si>
    <t>ROP - Julho</t>
  </si>
  <si>
    <t>ROP - Setembro</t>
  </si>
  <si>
    <t>ROP - Novembro</t>
  </si>
  <si>
    <t>Espaço</t>
  </si>
  <si>
    <t>Sala climatizada com capacidade para 50 pessoas. Com disponibilidade física e elétrica para instalação de equipamentos e iluminação com, tamanho minimo de 115m²</t>
  </si>
  <si>
    <t>Devidamente forradas, com montagem em formato escolar para acomodar 50 pessoas, sendo até 3 pessoas por pranchão.</t>
  </si>
  <si>
    <t>Palestrante</t>
  </si>
  <si>
    <t>Palestrantre Geral</t>
  </si>
  <si>
    <t>Total Planejado - CDM e MUSEU</t>
  </si>
  <si>
    <t>Aquisição de gêneros alimentícios (MUSEU) - especificar</t>
  </si>
  <si>
    <t>Material de Expediente</t>
  </si>
  <si>
    <t>Material de expediente - Museu (especificar)</t>
  </si>
  <si>
    <t>Material para montagem de exposições (a especificar)</t>
  </si>
  <si>
    <t>Material de Acondicionamento e Embalagem (especificar)</t>
  </si>
  <si>
    <t>Material de copa e cozinha - Museu</t>
  </si>
  <si>
    <t>Material Elétrico e Eletrônico</t>
  </si>
  <si>
    <t>A ESPECIFICAR</t>
  </si>
  <si>
    <t>Materiais de Conservação e Restauração - Museu / DF</t>
  </si>
  <si>
    <t>Serviços Gerais de Limpeza e Higienização</t>
  </si>
  <si>
    <t>Liderança Limpeza e Conservação  (limpeza Museu)</t>
  </si>
  <si>
    <t>Prestação de serviço especializado de limpeza, conservação e higienização nas dependências do MuNEAN em Salvador/BA</t>
  </si>
  <si>
    <t xml:space="preserve">Limpeza, conservação e higienização rotineira das dependências  do Museu Nacional de enfermagem - MuNEAN </t>
  </si>
  <si>
    <t>jan/2020</t>
  </si>
  <si>
    <t>mês</t>
  </si>
  <si>
    <t>Liderança Limpeza e Conservação  (ou substituta)</t>
  </si>
  <si>
    <t>Valor referente repactuação (Liderança)</t>
  </si>
  <si>
    <t>Outros Serviços Terceirizados</t>
  </si>
  <si>
    <t>Premier Serviços e Empreendimentos (MUSEU)</t>
  </si>
  <si>
    <t>Prestação de Serviços, de forma contínua, em regime de empreitada por preço unitário, com fornecimento de mão de obra qualificada em recepção e monitoramento de visitantes, tratamento técnico de acervo museológico e apoio administrativo</t>
  </si>
  <si>
    <t>Possibilitar o funcionamento administrativo com atendimento e recepção dos visitantes e usuários dos serviços do Museu Nacional de Enfermagem - MuNEAN</t>
  </si>
  <si>
    <t>Premier Serviços e Empreendimentos (ou substituta)</t>
  </si>
  <si>
    <t>Premier Serviços e Empreendimentos (repactuação)</t>
  </si>
  <si>
    <t>Serviços de Água e Esgoto, Energia Elétrica, Gás e Outros.</t>
  </si>
  <si>
    <t>COELBA (LUZ MUSEU)</t>
  </si>
  <si>
    <t>Prestação de serviços de fornecimento de energia eletrica para o MuNEAN</t>
  </si>
  <si>
    <t>Fornecer energia eletrica ao Museu Nacional de Enfermagem - MuNEAN</t>
  </si>
  <si>
    <t>EMBASA (ÁGUA MUSEU)</t>
  </si>
  <si>
    <t>Prestação de serviços de fornecimento de água potavel e manutenção de rede fluvial e de esgotos</t>
  </si>
  <si>
    <t>Prestar de serviços de fornecimento de água potavel e manutenção de rede fluvial e de esgotos</t>
  </si>
  <si>
    <t>Confecção de Jornais, Revistas, Boletins e Demais Impressos</t>
  </si>
  <si>
    <t>Correspondência e Cobrança</t>
  </si>
  <si>
    <t>EBCT (correspondências Museu)</t>
  </si>
  <si>
    <t>Prestação de Serviços de Postais e Malote</t>
  </si>
  <si>
    <t>Possibilitar o envio postal de documentos e correspondências</t>
  </si>
  <si>
    <t>EBCT (correspondências) - RENOVAÇÃO</t>
  </si>
  <si>
    <t>EBCT (PAC / MALA DIRETA - Revista Foco)</t>
  </si>
  <si>
    <t>Prestação de Serviços de Mala Direta e PAC</t>
  </si>
  <si>
    <t>Possibilitar o envio por Mala Direta e PAC de envelopes e volumes</t>
  </si>
  <si>
    <t>EBCT (PAC / MALA DIRETA - Revista Foco) - RENOVAÇÃO</t>
  </si>
  <si>
    <t>Divulgações Diversas (publicidade legal)</t>
  </si>
  <si>
    <t>Divulgações Diversas (MUSEU) - especificar</t>
  </si>
  <si>
    <t>Serviços Graficos Editoriais (almoxarifado) - Museu - especificar</t>
  </si>
  <si>
    <t>Impressão de folder e impressos de pesquisa de opinião</t>
  </si>
  <si>
    <t>Assinaturas de Jornais e Periódicos (RECORTE JORNAIS E REVISTAS)</t>
  </si>
  <si>
    <t>Assinatura de jornais e revistas</t>
  </si>
  <si>
    <t>Birô de Digitalização - Digitalização do acervo arquivistico</t>
  </si>
  <si>
    <t>DTIC</t>
  </si>
  <si>
    <t>Marcos S. Biudes-Me (outsourcing MUSEU) - ou subst.</t>
  </si>
  <si>
    <t>Serviços de Áudio, Vídeo e Foto</t>
  </si>
  <si>
    <t>Serviços de Áudio, Vídeo e Foto (MUSEU) - especificar</t>
  </si>
  <si>
    <t>Intermediação de Estágios</t>
  </si>
  <si>
    <t>Intermediação de Estágios (MUSEU)</t>
  </si>
  <si>
    <t>Locação de imovel</t>
  </si>
  <si>
    <t>Locação de Imovel para sediar o Museu Nacional de Enfermagem - MuNEAN</t>
  </si>
  <si>
    <t>DEDETIZAÇÃO (MUSEU)</t>
  </si>
  <si>
    <t xml:space="preserve">Contratação de serviços de detetização predial </t>
  </si>
  <si>
    <t>Detetizar as dependências internas do Museu Nacional de Enfermagem - MuNEAN combatendo e prevenindo a infestação de termitas, escorpiões e insetos em geral</t>
  </si>
  <si>
    <t>jun/2020</t>
  </si>
  <si>
    <t>Und</t>
  </si>
  <si>
    <t>Serviço de montagem, desmontagem de arquivos deslizantes</t>
  </si>
  <si>
    <t>Contratação de Serviços de desmontagem, transporte e montagem de mobiliário deslizante de aquivamento com transferência ordenada do acervo</t>
  </si>
  <si>
    <t>Transferência de 3 (tres) mobiliários deslizantes de arquivamento e do acervo documental, para a nova sede do Cofen (caso haja essa mudança em 2020)</t>
  </si>
  <si>
    <t>Ago/2020</t>
  </si>
  <si>
    <t>Face</t>
  </si>
  <si>
    <t>Manutenção EQUIPAMENTO EXPOGRAFIA (MUSEU)</t>
  </si>
  <si>
    <t>Contratação de prestação de serviços de manutenção de equipamentos de expografia, sob demanda</t>
  </si>
  <si>
    <t>realizar manutenção preventiva e corretiva dos equipamentos da expografia sob demanda</t>
  </si>
  <si>
    <t>SANTOLIN Manut. Extintores ( MUSEU)</t>
  </si>
  <si>
    <t>Prestação de Serviços de manutenção preventiva e corretiva dos equipamentos de combate a incêndios, incluindo recarga, testes e substituição de peças e assessórios</t>
  </si>
  <si>
    <t>Manutenção dos extintores do Museu Nacional de Enfermagem - MuNEAN</t>
  </si>
  <si>
    <t>SANTOLIN, Manut. Extintores (MUSEU) ou subst.</t>
  </si>
  <si>
    <t>TAFA Engenharia Ltda (manutenção ar condicionado - MUSEU)</t>
  </si>
  <si>
    <t>Prestação de serviços de manutenção preventiva e corretiva dos aparelhos de ar condicionado</t>
  </si>
  <si>
    <t xml:space="preserve">Manutenção preventiva e corretiva dos aparelhos de ar condicionado do Museu Nacional de Enfermagem - MuNEAN </t>
  </si>
  <si>
    <t xml:space="preserve">TAFA Engenharia Ltda (ou substituto) </t>
  </si>
  <si>
    <t>Clareon Elevadores (Manut. Elevador MUSEU)</t>
  </si>
  <si>
    <t>Prestação de serviços de manutenção preventiva e corretiva de elevadores</t>
  </si>
  <si>
    <t>Manutenção preventiva e corretiva do elevador mensalmente</t>
  </si>
  <si>
    <t xml:space="preserve">Clareon Elevadores (ou subst.) </t>
  </si>
  <si>
    <t>Publicações Técnicas (ESPECIFICAR)</t>
  </si>
  <si>
    <t>Contratação de Seguro Predial, incluindo mobiliário, equipamentos e acervo para a sede do MuNEAN</t>
  </si>
  <si>
    <t>Seguro predial contra incendio e outros sinistros de modo a garantir o patrimônio físico e cultural do Museu Nacional de Enfermagem - MuNEAN</t>
  </si>
  <si>
    <t xml:space="preserve">UN </t>
  </si>
  <si>
    <t>Restauração e recondicionamento dos livros de registros e cadastro</t>
  </si>
  <si>
    <t>Contratação de serviços de reparo e restauração dos livros de Registro e Cadastro</t>
  </si>
  <si>
    <t>Reparo e restauração dos Livros de Registro e Cadastro do Setor de Registro e Cadastro - SIRC</t>
  </si>
  <si>
    <t>Despesas com uso de Telefonia Móvel e Fixa; e de habilitação dos serviços</t>
  </si>
  <si>
    <t>TELEFONIA MUSEU</t>
  </si>
  <si>
    <t>Prestação de serviços de telefonia fixa - STFC</t>
  </si>
  <si>
    <t>Instalar e prestar serviços de telefonia fixa no Museu Nacional de Enfermagem - MuNEAN</t>
  </si>
  <si>
    <t>Pagamento do imposto sobre a propriedade predial e territorial urbano - IPTU</t>
  </si>
  <si>
    <t>Pagamento anual do IPTU do predio da sede do MuNEAN, conforme previsto no contrato de locação do imovel</t>
  </si>
  <si>
    <t>und</t>
  </si>
  <si>
    <t>Agência Brasileira do ISBN</t>
  </si>
  <si>
    <t>O International Standard Book Number é um sistema internacional de identificação de livros e softwares que utiliza números para classificá-los por título, autor, país, editora e edição.</t>
  </si>
  <si>
    <t>O Cofen produz publicações anualmente que necessitam do número de ISBN para serem oficializadas junto à Biblioteca Nacional do Brasil através da Agência ISBN.</t>
  </si>
  <si>
    <t>Agência Brasileira de Editores Científicos (DOI)</t>
  </si>
  <si>
    <t>Digital Object Identifier (DOI) é um padrão para identificação de documentos em redes de computadores, como a Internet. Atualmente, cresce a preocupação com a segurança de objetos digitais na Internet.</t>
  </si>
  <si>
    <t>Para manter o índice qualis Capes de Periódicos Científicos a Revista do Cofen, Enfermagem em Foco deve receber o número DOI para todos os fascículos e artigos publicados.</t>
  </si>
  <si>
    <t>jan/2021</t>
  </si>
  <si>
    <t>Agência Brasileira de Editores Científicos (ANUIDADE)</t>
  </si>
  <si>
    <t>A Associação Brasileira de Editores Científicos é uma sociedade civil de âmbito nacional, sem fins lucrativos e de duração indeterminada. Congrega pessoas físicas e jurídicas com interesse em desenvolver e aprimorar a publicação de periódicos técnicos-científicos; aperfeiçoar a comunicação e divulgação de informações; manter o intercâmbio de ideias, o debate de problemas e a defesa dos interesses comuns.</t>
  </si>
  <si>
    <t>Para realizar a aquisição de números DOI sem a necessidade de firmar um contrato internacional é necessário ser associado à ABEC Brasil.</t>
  </si>
  <si>
    <t>jan/2022</t>
  </si>
  <si>
    <t xml:space="preserve">Pagamento da taxa de fiscalização do funcionamento </t>
  </si>
  <si>
    <t>Manter a regularidade documental da autorização de funcionamento do MuNEAN</t>
  </si>
  <si>
    <t>OUTROS (A ESPECIFICAR)</t>
  </si>
  <si>
    <t>DESPESAS DE EXERCÍCIOS ANTERIORES</t>
  </si>
  <si>
    <t xml:space="preserve">Despesas não previstas - OUTRAS (a especificar) repactuações / reajuste ou apostilamentos de contratos </t>
  </si>
  <si>
    <t>ESPECIFICAR</t>
  </si>
  <si>
    <t>Aquisição de equipamento de informática para o Museu (especificar)</t>
  </si>
  <si>
    <t>Aquisição e instalação de aparelho de ar-condicionado</t>
  </si>
  <si>
    <t>Aquisição e instalação de 1 (um) aparelho de Ar-condicionado do tipo piso teto, com capacidade de refrigeração de cerca de 48.000 BTU</t>
  </si>
  <si>
    <t>Substituir o aparelho de ar-condicionado, atualmente instalado, e que apresenta problemas técnicos irreparáveis</t>
  </si>
  <si>
    <t>UM</t>
  </si>
  <si>
    <t>a especificar</t>
  </si>
  <si>
    <t>Há alguma despesa não mencionada no quadro acima? Em caso positivo, preencha no quadro abaixo:</t>
  </si>
  <si>
    <t>Aquisição de mobiliário deslizante de arquivamento - Arquivo Deslizante</t>
  </si>
  <si>
    <t>Fornecimento e montagem/instalação de 2 (dois) equipamentos deslizante de arquivamento para acondicionamento de acervo documental</t>
  </si>
  <si>
    <t>01 (um) arquivo deslizante para armazenamento de acervo intermediário no Arquivo Central e 01(um) Arquivo Deslizante para armazenamento de documentos restritos da divisão de Recursos Humanos</t>
  </si>
  <si>
    <t>m/linear</t>
  </si>
  <si>
    <t>Manutenção preventiva e corretiva de Mobiliário Deslizante de Arquivamento (Arquivo Deslizante)</t>
  </si>
  <si>
    <t>Contratação de manutenção preventiva e corretiva de mobiliário deslizante de arquivamento (Arquivo Deslizante)</t>
  </si>
  <si>
    <t>Manutenção corretiva e preventiva dos Arquivos deslizantes do CDM, DPAC e DGP</t>
  </si>
  <si>
    <t>Jan/2020</t>
  </si>
  <si>
    <t>Centro de Documentação e Memória - CDM</t>
  </si>
  <si>
    <t xml:space="preserve"> </t>
  </si>
  <si>
    <t>Katana Segurança Ltda - EPP</t>
  </si>
  <si>
    <t>K2 Conservação e Serviços Gerais Ltda</t>
  </si>
  <si>
    <t>CEB (SEDE)</t>
  </si>
  <si>
    <t>CEB (DEPÓSITO)</t>
  </si>
  <si>
    <t>CAESB (SEDE)</t>
  </si>
  <si>
    <t>CAESB (DEPÓSITO)</t>
  </si>
  <si>
    <t>LIGHT (COFEN-RJ)</t>
  </si>
  <si>
    <t>PAD</t>
  </si>
  <si>
    <t>Itens</t>
  </si>
  <si>
    <t>FIXAÇÃO DA DESPESA</t>
  </si>
  <si>
    <t>Empresas</t>
  </si>
  <si>
    <t>Vencimentos</t>
  </si>
  <si>
    <t>Orçamento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</si>
  <si>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</si>
  <si>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</si>
  <si>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</si>
  <si>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</si>
  <si>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</si>
  <si>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</si>
  <si>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</si>
  <si>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</si>
  <si>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</si>
  <si>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</si>
  <si>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</si>
  <si>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</si>
  <si>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Total/2</t>
  </si>
  <si>
    <t>Total Geral</t>
  </si>
  <si>
    <t>Observações</t>
  </si>
  <si>
    <t>PAD 641/14</t>
  </si>
  <si>
    <t>Empresa para intermediação de compra de combustível</t>
  </si>
  <si>
    <t>Ticket Soluções HDFGT S.A</t>
  </si>
  <si>
    <t>Orçamento 1ª Parte 2020</t>
  </si>
  <si>
    <t>O gasto atual está em R$ 2678,43, ou seja, abaixo do total do contrato. Portanto, não vemos a necessidade de aditivo.</t>
  </si>
  <si>
    <t>Orçamento 2ª Parte 2020</t>
  </si>
  <si>
    <t>Aditivo</t>
  </si>
  <si>
    <t>PAD 1061/18</t>
  </si>
  <si>
    <t>Fornecimento de carimbo</t>
  </si>
  <si>
    <t>Elaine LTDA</t>
  </si>
  <si>
    <t>Por se tratar de aquisição, teremos que licitar novamente no ano que vem no que foi colocada estimativa nesse sentido. Adiconando-se em méida 25% do valor mensal atual.</t>
  </si>
  <si>
    <t>PAD 124/14</t>
  </si>
  <si>
    <t>Serviços de Segurança Predial</t>
  </si>
  <si>
    <t xml:space="preserve">O orçamento é composto pelo contratado, eventual aditivo apontado pelo DFIN e a repactuação de acordo com o DETEC </t>
  </si>
  <si>
    <t>Repactuação</t>
  </si>
  <si>
    <t>PAD 075/16</t>
  </si>
  <si>
    <t>Empresa Especializada em Serviço de Limpeza</t>
  </si>
  <si>
    <t>Sefix gestão de Profissionais Ltda- Me</t>
  </si>
  <si>
    <t xml:space="preserve">O orçamento é composto pelo contratado, eventual aditivo apontado pelo DEFIN e a repactuação de acordo com o DETEC </t>
  </si>
  <si>
    <t>PAD 175/16</t>
  </si>
  <si>
    <t>Serviços Auxiliares</t>
  </si>
  <si>
    <t>PAD 1363/18</t>
  </si>
  <si>
    <t xml:space="preserve">TARIFAS DE ENERGIA ELÉTRICA </t>
  </si>
  <si>
    <t>Orçamento 2020</t>
  </si>
  <si>
    <t>Orçamento com 25% de progressão</t>
  </si>
  <si>
    <t>PAD 1366/18</t>
  </si>
  <si>
    <t>PAD 1364/19</t>
  </si>
  <si>
    <t xml:space="preserve">TARIFAS DE ÁGUA E SANEAMENTO BÁSICO </t>
  </si>
  <si>
    <t>PAD 1365/19</t>
  </si>
  <si>
    <t>PAD 1400/18</t>
  </si>
  <si>
    <t>PAD 450/15</t>
  </si>
  <si>
    <t xml:space="preserve">Serviços de Manutenção dos Aparelhos de Ar Condicionado da SEDE </t>
  </si>
  <si>
    <t>Tafa Engenharia Ltda</t>
  </si>
  <si>
    <t>O orçamento é composto pelo contratado, eventual aditivo apontado pelo DEFIN.</t>
  </si>
  <si>
    <t>PAD 203/17</t>
  </si>
  <si>
    <t>Serviço de Manutenção para os Veículos do Cofen</t>
  </si>
  <si>
    <t>Ribeiro Diniz</t>
  </si>
  <si>
    <t>De acordo com os gastos no último exercício, não vemos a necessidade de aditivo</t>
  </si>
  <si>
    <t>PAD 684/17</t>
  </si>
  <si>
    <t>Serviço de Manutenção de Extintores DF</t>
  </si>
  <si>
    <t>ENGECONS LTDA - ME</t>
  </si>
  <si>
    <t>O orçamento é composto pelo contratado, eventual aditivo apontado pelo DEFIN</t>
  </si>
  <si>
    <t>PAD 591/18</t>
  </si>
  <si>
    <t xml:space="preserve">Serviços de Manutenção Preventiva e Corretiva para Caixa de Esgoto </t>
  </si>
  <si>
    <t xml:space="preserve">Hábil </t>
  </si>
  <si>
    <t xml:space="preserve">O orçamento é composto pelo contratado, eventual aditivo apontado pelo DEFIN </t>
  </si>
  <si>
    <t xml:space="preserve"> PAD 1061/18</t>
  </si>
  <si>
    <t>Serviço de chaveiro</t>
  </si>
  <si>
    <t>VCS Chaves e Carimbos</t>
  </si>
  <si>
    <t>Por se tratar de aquisição, teremos que licitar novamente no ano que vem no que foi colocada estimativa nesse sentido. Adicional de em média 25% do valor mensal atual.</t>
  </si>
  <si>
    <t>PAD 242/17</t>
  </si>
  <si>
    <t>SERVIÇO DE CONTROLE DE PRAGAS E VETORES DF</t>
  </si>
  <si>
    <t>Casa de Vetores</t>
  </si>
  <si>
    <t>SERVIÇO DE CONTROLE DE PRAGAS E VETORES RJ</t>
  </si>
  <si>
    <t>Combate RIO</t>
  </si>
  <si>
    <t>PAD 298/15</t>
  </si>
  <si>
    <t>Serviço de Telefonia Fixa - DF</t>
  </si>
  <si>
    <t>Claro S.A/DF</t>
  </si>
  <si>
    <t>PAD 691/16</t>
  </si>
  <si>
    <t xml:space="preserve">Serviço de Telefonia Móvel - Ligação </t>
  </si>
  <si>
    <t>Telefônica do Brasil - VIVO</t>
  </si>
  <si>
    <t>Serviço de Telefonia Móvel - Internet</t>
  </si>
  <si>
    <t>PAD 249/16</t>
  </si>
  <si>
    <t>Serviço de Telefonia Fixa - RJ</t>
  </si>
  <si>
    <t>Claro S.A/RJ</t>
  </si>
  <si>
    <t>PAD 1399/18</t>
  </si>
  <si>
    <t xml:space="preserve">Administradora de Imóveis/RJ -  </t>
  </si>
  <si>
    <t>Masset</t>
  </si>
  <si>
    <t>Orçamento com 10% de progressão</t>
  </si>
  <si>
    <t>Reajuste</t>
  </si>
  <si>
    <t>PAD 245/19</t>
  </si>
  <si>
    <t>Manutenção dos elevadores</t>
  </si>
  <si>
    <t>Overscall</t>
  </si>
  <si>
    <t>PAD 257/18</t>
  </si>
  <si>
    <t>Pagamento de Taxas - Escritório Cofen-RJ</t>
  </si>
  <si>
    <t>x</t>
  </si>
  <si>
    <t>Projeção histórica</t>
  </si>
  <si>
    <t>PAD 099/18</t>
  </si>
  <si>
    <t>Taxas dos Veículos automotivos da frota do Cofen</t>
  </si>
  <si>
    <t>PAD  914/16</t>
  </si>
  <si>
    <t>Contratação de Seguro para veículos do Cofen</t>
  </si>
  <si>
    <t>Mapfre Seguros</t>
  </si>
  <si>
    <t>PAD  619/10</t>
  </si>
  <si>
    <t xml:space="preserve">Contrato de locação do Imóvel no SIA </t>
  </si>
  <si>
    <t>Itamaraty Imóveis</t>
  </si>
  <si>
    <t>O orçamento é composto pelo contratado com projeção do IGPM e margem de segurança</t>
  </si>
  <si>
    <t>PAD  514/16</t>
  </si>
  <si>
    <t>Seguro Predial do Edificio Sede</t>
  </si>
  <si>
    <t>Sompo Seguros</t>
  </si>
  <si>
    <t>Manutenção predial - RJ e Bahia</t>
  </si>
  <si>
    <t>Manutenção predial - Brasília</t>
  </si>
  <si>
    <t>Projeção histórica + possível demanda de nova sede</t>
  </si>
  <si>
    <t>Projetos - 2020</t>
  </si>
  <si>
    <t>PAD 914/18</t>
  </si>
  <si>
    <t>Manutenção de ar condicionado RJ</t>
  </si>
  <si>
    <t>Serviço de higiene para banheiros</t>
  </si>
  <si>
    <t>Conserto de máquinas, eletrodomésticos e móveis</t>
  </si>
  <si>
    <t>Nova terceirização</t>
  </si>
  <si>
    <t>Impacto nova sede segurança</t>
  </si>
  <si>
    <t>Impacto nova sede limpeza</t>
  </si>
  <si>
    <t>Impacto nova sede extintores</t>
  </si>
  <si>
    <t>Instalações de portaria (locação de equipamentos)</t>
  </si>
  <si>
    <t>Divisão de Gestão de Serviços - DGS</t>
  </si>
  <si>
    <t>Item</t>
  </si>
  <si>
    <t>Classificação Contabil</t>
  </si>
  <si>
    <t>QTD 2020</t>
  </si>
  <si>
    <t>VL 2020</t>
  </si>
  <si>
    <t>Tv</t>
  </si>
  <si>
    <t>Aparelho de Comunicação</t>
  </si>
  <si>
    <t>CÂMERA DE VIDEOCONFERÊNCIA PTZ</t>
  </si>
  <si>
    <t>APRESENTADOR MULTIMÍDIA SEM FIO</t>
  </si>
  <si>
    <t>APARELHO TELEFÔNICO DE MESA</t>
  </si>
  <si>
    <t>TELEFONE HEADSET COM BASE DISCADORA </t>
  </si>
  <si>
    <t xml:space="preserve">MONITOR LCD/LED </t>
  </si>
  <si>
    <t>Equipamento de Informática</t>
  </si>
  <si>
    <t xml:space="preserve">SWITCH 16 PORTAS GIGABIT                       </t>
  </si>
  <si>
    <t>HARD DISK EXTERNO PORTÁTIL</t>
  </si>
  <si>
    <t>DOCK STATION 2,5 E 3,5 SATA HDD USB</t>
  </si>
  <si>
    <t>NO-BREAK</t>
  </si>
  <si>
    <t>TESTADOR DE CABOS</t>
  </si>
  <si>
    <t>JOGO/KIT DE CHAVES TORX DE PRECISÃO</t>
  </si>
  <si>
    <t>JOGO/KIT DE CHAVES DE FENDA SIMPLES E FENDA CRUZADA (PHILLIPS) PARA COMPUTADOR REFORÇADAS PARA USO PROFISSIONAL</t>
  </si>
  <si>
    <t>LANTERNA LED</t>
  </si>
  <si>
    <t>MALETA COM JOGO DE FERRAMENTAS P/ INFORMÁTICA</t>
  </si>
  <si>
    <t>ferramentas</t>
  </si>
  <si>
    <t>CAIXA DE CABO U/UTP CATEGORIA 6</t>
  </si>
  <si>
    <t>Mat. De Processamento de Dados</t>
  </si>
  <si>
    <t>CONECTOR RJ45 FÊMEA CAT. 6</t>
  </si>
  <si>
    <t>CONECTOR RJ 45 MACHO 8 VIAS CAT.6</t>
  </si>
  <si>
    <t>CONECTOR RJ 11 MACHO 6P4C PARA TELEFONIA</t>
  </si>
  <si>
    <t>CABO PATCH CORD VOZ IDC 110+RJ45 1 PAR</t>
  </si>
  <si>
    <t xml:space="preserve">DUPLICADOR DE TOMADA RJ45 PARA 02 SOQUETES RJ45 </t>
  </si>
  <si>
    <t>EMENDA PARA RJ45 PONTO A PONTO</t>
  </si>
  <si>
    <t>TECLADO</t>
  </si>
  <si>
    <t>MOUSE COM 3 BOTÕES</t>
  </si>
  <si>
    <t>MOUSE PAD.</t>
  </si>
  <si>
    <t>ADAPTADOR DE TOMADA PADRÃO ANTIGO P/ NOVO</t>
  </si>
  <si>
    <t>ADAPTADOR DE TOMADA PADRÃO NOVO P/ ANTIGO</t>
  </si>
  <si>
    <t>ADAPTADOR CONVERSOR HDMI PARA VGA</t>
  </si>
  <si>
    <t>ADAPTADOR DISPLAYPORT-HDMI</t>
  </si>
  <si>
    <t>PEN DRIVE/USB FLASH DRIVE</t>
  </si>
  <si>
    <t>HEADPHONE HEADSET</t>
  </si>
  <si>
    <t>MICROFONE DE MESA PARA COMPUTADOR</t>
  </si>
  <si>
    <t>CAIXA DE SOM PARA COMPUTADOR  </t>
  </si>
  <si>
    <t>FILTRO DE LINHA</t>
  </si>
  <si>
    <t>Material Eletrico e Eletronico</t>
  </si>
  <si>
    <t>BATERIA DE LÍTIO CR2032  </t>
  </si>
  <si>
    <t>PILHA AA ALCALINA 1,5 V NÃO RECARREGÁVEL</t>
  </si>
  <si>
    <t>PILHA PALITO AAA ALCALINA 1,5 V NÃO RECARREGÁVEL</t>
  </si>
  <si>
    <t>PILHA PEQUENA AA ALCALINA 1,5 V RECARREGÁVEL (EMBALAGEM COM 4)</t>
  </si>
  <si>
    <t>CARREGADOR PARA PILHA AA (2500mAh), AAA (900mAh)</t>
  </si>
  <si>
    <t>PILHA PALITO AAA ALCALINA 1,5 V RECARREGÁVEL (EMBALAGEM COM 4)</t>
  </si>
  <si>
    <t>SUPORTE PARA TV LED TIPO PEDESTAL DE PISO</t>
  </si>
  <si>
    <t>TOTAL</t>
  </si>
  <si>
    <t xml:space="preserve">         Suprimento de TI</t>
  </si>
  <si>
    <t>Local de execução</t>
  </si>
  <si>
    <t>descricao</t>
  </si>
  <si>
    <t>Valor total da despesa planejada</t>
  </si>
  <si>
    <t>Combustíveis e Lubrificantes</t>
  </si>
  <si>
    <t>Ticket Soluções FDFGT S.A (antiga Haag)</t>
  </si>
  <si>
    <t>Ticket Soluções FDFGT S.A  (ou subst.)</t>
  </si>
  <si>
    <t>Serviços de carimbo (HBL)</t>
  </si>
  <si>
    <t>SERVIÇOS DE CONSULTORIA</t>
  </si>
  <si>
    <t>SERVIÇOS DE CONSULTORIA - PJ</t>
  </si>
  <si>
    <t>Fábio José Nazário EPP (medicina do trabalho) - COFEN DF/RJ</t>
  </si>
  <si>
    <t xml:space="preserve">6. Elaboração, Implantação, Coordenação, Manutenção, Assistência Técnica ao Desenvolvimento e Emissão do Relatório Anual do Programa de Controle Médico de Saúde 
Ocupacional - PCMSO e do Perfil Profissiográfico Previdenciário – PPP, observando o disposto na NR-7; </t>
  </si>
  <si>
    <t>Brasília</t>
  </si>
  <si>
    <t>Atendimento da Consolidação das Leis do Trabalho (CLT); Art. 157, § 1º, Lei nº 6.514/77; Portaria 3.214/78; Normas Regulamentadoras n° 01, 05, 07, 09 e 17; Perfil Profissiográfico Previdenciário – PPP; e-social.</t>
  </si>
  <si>
    <t>Medicina , engenharia trabalho - planejamento , controle</t>
  </si>
  <si>
    <t>Rio de Janeiro</t>
  </si>
  <si>
    <t>7. Elaboração, Implantação, Coordenação, Manutenção Assistência Técnica ao Desenvolvimento e Emissão do Relatório de Avaliação dos Resultados Do Programa de Prevenção de Riscos Ambientais – PPRA, Laudo Técnico de Condições Ambientais de Trabalho – LTCAT, e Mapa de Risco do Cofen, conforme Norma Regulamentadora n° 09;</t>
  </si>
  <si>
    <t>Consultoria e assessoria - segurança do trabalho</t>
  </si>
  <si>
    <t xml:space="preserve">8. Laudo de Ergonomia com avaliação ergonômica conforme NR-17 do Ministério do Trabalho e Emprego. </t>
  </si>
  <si>
    <t>Consultoria e assessoria - ergonomia</t>
  </si>
  <si>
    <t>Fábio José Nazário EPP ou substituto</t>
  </si>
  <si>
    <t>jan/20</t>
  </si>
  <si>
    <t>7. Elaboração, Implantação, Coordenação, Manutenção, Assistência Técnica ao Desenvolvimento e Emissão do Relatório Anual do Programa de Controle Médico de Saúde Ocupacional – PCMSO e conforme Norma Regulamentadora n° 07 e atendimento do E-social;</t>
  </si>
  <si>
    <t>Brasília/DF</t>
  </si>
  <si>
    <t>Rio de Janeiro/RJ</t>
  </si>
  <si>
    <t>Salvador/BA</t>
  </si>
  <si>
    <t>8. Elaboração, Implantação, Coordenação, Manutenção, Assistência Técnica ao Desenvolvimento e Emissão do Relatório de Avaliação dos Resultados do Programa de Prevenção de Riscos Ambientais – PPRA, Laudo Técnico de Condições Ambientais de Trabalho – LTCAT, e Mapa de Risco do Cofen, conforme Norma Regulamentadora n° 05 e atendimento do E-social;</t>
  </si>
  <si>
    <t xml:space="preserve">9. Laudo de Ergonomia com avaliação ergonômica conforme NR-17 do Ministério do Trabalho e Emprego e atendimento do E-social. </t>
  </si>
  <si>
    <t>10 Elaboração e emissão do Perfil Profissiográfico Previdenciário – PPP e atendimento do E-social</t>
  </si>
  <si>
    <t>11. Atualização parcial de PCMSO</t>
  </si>
  <si>
    <t xml:space="preserve">12. Atualização parcial de PPRA, LTCAT e Mapa de Risco </t>
  </si>
  <si>
    <t xml:space="preserve">13. Atualização parcial de Laudo de Ergonomia </t>
  </si>
  <si>
    <t>Cenofisco (Orientador Trabalhista)</t>
  </si>
  <si>
    <t>serviço de orientação na área trabalhista e de gestão de pessoas para fornecimento de publicações sobre legislação trabalhista, previdenciária, tributária, de medicina e segurança do trabalho aplicáveis á área de departamento de pessoal e recursos humanos.</t>
  </si>
  <si>
    <t>necessidade de atualização dos empregados do Cofen com relação à procedimentos trabalhistas, previdenciários, recolhimento de tributos e implantação do e-social. Todas essas atribuições geram dúvidas e o risco de erro pode ser mitigado com a leitura de conteúdo técnico.</t>
  </si>
  <si>
    <t>Publicação periódica, tipo: revista, periodicidade: semanal, área do conhecimento: direito do trabalho, título: jornal trabalhista consulex</t>
  </si>
  <si>
    <t>Cenofisco (Orientador Trabalhista) ou subst</t>
  </si>
  <si>
    <t>set/20</t>
  </si>
  <si>
    <t>OUTROS (ESPECIFICAR)</t>
  </si>
  <si>
    <t>SERVIÇOS DE CONSULTORIA - PF</t>
  </si>
  <si>
    <t>OUTROS SERVIÇOS DE TERCEIROS - PESSOA FÍSICA</t>
  </si>
  <si>
    <t>Perícias - PF</t>
  </si>
  <si>
    <t>Auditoria Externa - PF</t>
  </si>
  <si>
    <t>Honorários Advocatícios - Ônus De Sucumbência - PF</t>
  </si>
  <si>
    <t>Serviços Médicos e Odontológicos - PF</t>
  </si>
  <si>
    <t>Seleção e Treinamento - PF</t>
  </si>
  <si>
    <t>Comunicação em Geral - PF</t>
  </si>
  <si>
    <t>Limpeza e Conservação - PF</t>
  </si>
  <si>
    <t>Serviços Domésticos - PF</t>
  </si>
  <si>
    <t>Vigilância Ostensiva - PF</t>
  </si>
  <si>
    <t>Manutenção e Conservação - PF</t>
  </si>
  <si>
    <t>Comissões e Corretagens - PF</t>
  </si>
  <si>
    <t>Direitos Autorais - PF</t>
  </si>
  <si>
    <t>Serviços Técnicos Profissionais - PF</t>
  </si>
  <si>
    <t>Locações - PF</t>
  </si>
  <si>
    <t>Jetons e Gratificações a Conselheiros - PF</t>
  </si>
  <si>
    <t>Serviços Judiciários - PF</t>
  </si>
  <si>
    <t>Outras Despesas Pagas Diretamente à Pessoa Física - PF</t>
  </si>
  <si>
    <t>LOCAÇÃO DE MÃO-DE-OBRA</t>
  </si>
  <si>
    <t>Serviços de Segurança</t>
  </si>
  <si>
    <t>Katana Segurança Ltda - EPP (ou substituta)</t>
  </si>
  <si>
    <t>Valor referente repactuação (Katana)</t>
  </si>
  <si>
    <t>Focalize gestão de Profissionais Ltda- Me (COFEN)</t>
  </si>
  <si>
    <t>Focalize gestão de Profissionais Ltda- Me</t>
  </si>
  <si>
    <t>K2 Conservação e Serviços Gerais Ltda (repactuação)</t>
  </si>
  <si>
    <t>Serviço de brigadista</t>
  </si>
  <si>
    <t>ARRENDAMENTO MERCANTIL</t>
  </si>
  <si>
    <t>Arrendamento Mercantil</t>
  </si>
  <si>
    <t>OUTROS SERVIÇOS DE TERCEIROS - PESSOA JURÍDICA</t>
  </si>
  <si>
    <t>SERVIÇOS TERCEIRIZADOS - PESSOAS JURÍDICAS</t>
  </si>
  <si>
    <t>DEMAIS SERVIÇOS - PESSOAS JURÍDICAS</t>
  </si>
  <si>
    <t>Entidade sem fins lucrativos - APRENDIZES</t>
  </si>
  <si>
    <t xml:space="preserve">Contratação de entidade sem fins lucrativos, inscrita e aprovada no Cadastro Nacional de Aprendizagem, com capacidade técnica e administrativa, e que tenha por objetivo a assistência ao jovem e a educação profissional, para recrutar, selecionar, contratar, capacitar, preparar, encaminhar e realizar o acompanhamento e disponibilização de jovens aprendizes para o Conselho Federal de Enfermagem </t>
  </si>
  <si>
    <t>Atendimento à Lei de Aprendizagem n° 10.097/2000, e em conformidade com as condições estabelecidas no Decreto nº 9.579/2018; Atendimento ao art. 429 da CLT, que determina que os estabelecimentos de qualquer natureza são obrigados a contratar e matricular aprendizes nos cursos de aprendizagem, no percentual mínimo de cinco e máximo de quinze por cento das funções que exijam formação profissional;</t>
  </si>
  <si>
    <t>Administração , execução projeto educacional - convênio , estágio , universitário , monitor</t>
  </si>
  <si>
    <t>meses</t>
  </si>
  <si>
    <t>Compra de carro pipa - COFEN/DF</t>
  </si>
  <si>
    <t>D´COLAR GRÁFICA E ETIQUETAS EIRELI - CRACHÁS</t>
  </si>
  <si>
    <t>Contratação de empresa para prestação de serviços de confecção e fornecimento de crachás para identificação.</t>
  </si>
  <si>
    <t xml:space="preserve">Necessidade de identificação dos funcionários </t>
  </si>
  <si>
    <t>um</t>
  </si>
  <si>
    <t>CRACHÁS SUBSTITUTO</t>
  </si>
  <si>
    <t>Fretes e Carretos</t>
  </si>
  <si>
    <t>Transporte em Geral</t>
  </si>
  <si>
    <t>Transferência Ordenada de acervo documental</t>
  </si>
  <si>
    <t xml:space="preserve">Fretes </t>
  </si>
  <si>
    <t>Contratação de trasportadora BSB-RJ</t>
  </si>
  <si>
    <t>Seguro</t>
  </si>
  <si>
    <t>Contratação de trasportadora MUSEU</t>
  </si>
  <si>
    <t>Agência de Integração Empresa Escola Ltda-Me (COFEN/DF)</t>
  </si>
  <si>
    <t>serviço de agente de integração de estágios</t>
  </si>
  <si>
    <t>Contribuir com a formação profissional de estudantes dos ensinos médio e superior, potencializando vivência no mercado de trabalho, proporcionando desenvolvimento pessoal e profissional</t>
  </si>
  <si>
    <t>Agência de Integração Empresa Escola Ltda-Me ou substituto (COFEN/DF)</t>
  </si>
  <si>
    <t>abril/2020</t>
  </si>
  <si>
    <t>janeiro/2020</t>
  </si>
  <si>
    <t>Serviço de manutenção do Sistema Senior</t>
  </si>
  <si>
    <t>Imprescindível à manutenção da gestão administrativa da folha de pagamento, e demais obrigações trabalhistas</t>
  </si>
  <si>
    <t>Manutenção de software (corretiva, preventiva, adaptativa)</t>
  </si>
  <si>
    <t>mensal</t>
  </si>
  <si>
    <t>Software - Avaliação de Desempenho (licença)</t>
  </si>
  <si>
    <t>Software de avaliação de desempenho</t>
  </si>
  <si>
    <t>Atendimento da Resolução 361/2009 e 508/2016. OE01. Promover o desenvolvimento de competências dos empregados públicos que compõem o Sistema Cofen-Conselhos Regionais de Enfermagem. OE04. Apoiar técnica, administrativa, financeira, tecnológica e juridicamente os Conselhos Regionais de Enfermagem para melhorar a gestão e o atendimento à sociedade e aos profissionais de enfermagem. OE07. Ter um ambiente de trabalho integrado, que promova a cultura de resultados e a qualidade de vida no trabalho.</t>
  </si>
  <si>
    <t>Licenciamento de direitos permanentes de uso de outros softwares , programas de computador</t>
  </si>
  <si>
    <t>março/2020</t>
  </si>
  <si>
    <t>unidade</t>
  </si>
  <si>
    <t>Software - Avaliação de Desempenho (manutenção)</t>
  </si>
  <si>
    <t>Certificações difitais (e-cpf / e-cnpj) A1</t>
  </si>
  <si>
    <t>Contratação de empresa especializada para a aquisição de  6( seis certificados digitais (Pessoa física)  para uso como o Esocial, sistema de escrituração digital das obrigações fiscais, previdenciarias e trabalhistas, tipo A1, padrão ICP-Brasil, com validade de (um) ano, contados a partir da emissão do certificado, conforme descrito na nota orientativa 014.2019 do comite gestor do E-social.</t>
  </si>
  <si>
    <t>Brasilia</t>
  </si>
  <si>
    <t xml:space="preserve"> A necessidade de aquisição dos certificados  é justificada pela obrigatoriedade  de comunicação  com o Governo Federal  de forma eletrônica e unificada e isto só é possivel com o uso de certificação digital. O Ambiente do Esocial transmite informações fiscais, previdenciarias e trabalhista,  é importante sua autenticação digital, pois estas servirão tanto  para as fiscalizações de praxe e também como base de informações em eventuais ações previdenciarias e trabalhistas. A assinatura registrada através do certificado digital tem valor judicial, dando assim  a segurança que os documentos decorrentes ações do ambiente virtual necessitam.</t>
  </si>
  <si>
    <t>27146</t>
  </si>
  <si>
    <t>Emissão de certificado digital a1 para pessoa física</t>
  </si>
  <si>
    <t>unidades</t>
  </si>
  <si>
    <t>Contratação de empresa especializada para a aquisição de  1( um) certificado digital (Pessoa jurídica)  para uso como o Esocial, sistema de escrituração digital das obrigações fiscais, previdenciarias e trabalhistas, tipo A1, padrão ICP-Brasil, com validade de (um) ano, contados a partir da emissão do certificado, conforme descrito na nota orientativa 014.2019 do comite gestor do E-social.</t>
  </si>
  <si>
    <t>27162</t>
  </si>
  <si>
    <t>Emissão de certificado digital a1 para pessoa jurídica</t>
  </si>
  <si>
    <t>Certificações difitais (e-cpf / e-cnpj)A3</t>
  </si>
  <si>
    <t>Contratação de empresa especializada para a aquisição de  4( Quatro) certificados digitais (Pessoa física)  para uso como o Esocial, sistema de escrituração digital das obrigações fiscais, previdenciarias e trabalhistas, tipo A3, padrão ICP-Brasil, com validade de (um) ano, contados a partir da emissão do certificado, conforme descrito na nota orientativa 014.2019 do comite gestor do E-social.</t>
  </si>
  <si>
    <t>27189</t>
  </si>
  <si>
    <t>Emissão de certificado digital a3, com token pessoa física</t>
  </si>
  <si>
    <t>INOVE Tecnologia Ltda (Manut. Predial MUSEU)</t>
  </si>
  <si>
    <t>D.S.A. Engenharia Ltda - EPP  (manutenção predial RJ)</t>
  </si>
  <si>
    <t>INOVE Tecnnologia Ltda  (manutenção predial DF)</t>
  </si>
  <si>
    <t>Tafa Engenharia Ltda (manutenção ar condicionado) - DF</t>
  </si>
  <si>
    <t>Tafa Engenharia Ltda (manutenção ar condicionado) - subst. DF</t>
  </si>
  <si>
    <t>Ribeiro e Diniz Comércio de Peças e Serviços Automotivos</t>
  </si>
  <si>
    <t>RICARDO ALVES RAMOS DE BRITO EXTINTORES ME ou subst. (DF)</t>
  </si>
  <si>
    <t>Manutenção de extintores (COFEN-RJ)</t>
  </si>
  <si>
    <t>Over Elevadores (manutenção elevadores)</t>
  </si>
  <si>
    <t>Over Elevadores (manutenção elevadores) ou subst.</t>
  </si>
  <si>
    <t>Basic Construções Ltda - EPP (Manut cx esgoto)</t>
  </si>
  <si>
    <t>Basic Construções Ltda - EPP (Manut cx esgoto) ou subst.</t>
  </si>
  <si>
    <t>Limpeza de caixa d'água - COFEN/DF</t>
  </si>
  <si>
    <t>HEXA Comércio e Importação de Equipamentos Ltda (manutenção de ponto eletrônico)</t>
  </si>
  <si>
    <t>Manutenção preventiva e corretiva, com reposição de peças originais, sem ônus adicional, para 2 aparelhos de registro de ponto eletrônico</t>
  </si>
  <si>
    <t>Resolução Cofen 154/2016. Legislação Trabalhista. Gestão da jornada de trabalho do quadro de pessoal</t>
  </si>
  <si>
    <t>HEXA Comércio e Importação de Equipamentos Ltda (manutenção de ponto eletrônico) - OU SUBSTITUTA</t>
  </si>
  <si>
    <t>06/2020</t>
  </si>
  <si>
    <t>Carlos Cesar Vieira (Serviço de chaveiro)</t>
  </si>
  <si>
    <t>Serviço de chaveiro (subst.)</t>
  </si>
  <si>
    <t>DEDETIZAÇÃO COFEN/DF</t>
  </si>
  <si>
    <t>DEDETIZAÇÃO COFEN/RJ</t>
  </si>
  <si>
    <t>Palestras, Cursos, Treinamentos e Seleção de Pessoal</t>
  </si>
  <si>
    <t>Treinamento de Brigada de Incêndio</t>
  </si>
  <si>
    <t>Brigada contra incêndio</t>
  </si>
  <si>
    <t>Atendimento à norma do Corpo de bombeiros</t>
  </si>
  <si>
    <t>Treinamento de Bombeiro Particular / Brigada Contra Incêndio</t>
  </si>
  <si>
    <t>elaboração de Plano de Prevenção e Combate a incendio</t>
  </si>
  <si>
    <t>Exercício Simulado de Evacuação de Edificação</t>
  </si>
  <si>
    <t>Treinamento software de Avaliação de desempenho</t>
  </si>
  <si>
    <t>Fábio José Nazário EPP</t>
  </si>
  <si>
    <t xml:space="preserve">9. Ministração do curso de CIPA conforme consta 
na Norma Regulamentadora n° 05 do Ministério 
do Trabalho e Emprego. O treinamento é 
necessário Para 04 (quatro) pessoas 
considerando o grau de risco no qual o Cofen 
atualmente se enquadra e o quantitativo atual do 
quadro de funcionários. </t>
  </si>
  <si>
    <t>Treinamento na Área de Administração</t>
  </si>
  <si>
    <t>10. Propor, organizar, promover e realizar da Semana 
Interna de Prevenção de Acidentes de Trabalho - 
SIPAT, com no mínimo 05 (cinco) palestras com 
carga horária mínima de 01 (uma) hora cada 
uma, Com controle de frequência, que atendam as 
necessidades relacionada a saúde e segurança, 
definidas em conjunto entre a Contratada e o 
Cofen. Deverão ser elaborados e fornecidos pela 
Contratada materiais informativos para 
divulgação e distribuição aos funcionários 
(folders, cartazes, etc) com a temática da SIPAT;</t>
  </si>
  <si>
    <t>Seminário / Palestra</t>
  </si>
  <si>
    <t xml:space="preserve">11. Realização de palestras educativas, com carga 
horária mínima de 01h30 (uma hora e trinta 
minutos) cada palestra, com controle de 
frequência, e com temáticas que vise a Promoção 
à Saúde, a serem definidas em conjunto entre a 
Contratada e o Cofen. Deverão ser elaborados 
e fornecidos pela Contratada materiais 
informativos para divulgação e distribuição aos 
funcionários (folders, cartazes, etc) sobre 
promoção à saúde, principalmente voltados aos 
fatores condicionantes e determinantes do 
adoecimento humano; </t>
  </si>
  <si>
    <t>14. Participação de funcionário em curso de CIPA conforme consta na Norma Regulamentadora n° 05 do Ministério do Trabalho e Emprego;</t>
  </si>
  <si>
    <t>15. Realização de palestras educativas, com carga horária mínima de 01h30 (uma hora e trinta minutos) cada palestra, com controle de frequência, e com temáticas que vise a Promoção à Saúde, a serem definidas em conjunto entre a CONTRATADA e o COFEN. Deverão ser elaborados e fornecidos pela CONTRATADA materiais informativos para divulgação e distribuição aos funcionários (folders, cartazes, etc) sobre o tema, principalmente voltados aos fatores condicionantes e determinantes do adoecimento humano;</t>
  </si>
  <si>
    <t>Publicações Técnicas</t>
  </si>
  <si>
    <t>Serviços Médico-Hospitalar, Odontol. e Laboratoriais</t>
  </si>
  <si>
    <t>1. Elaboração de ATESTADOS DE SAÚDE OCUPACIONAL – ASO (Admissional, Demissional, Periódico, Mudança médico pericial para Portador de Necessidades Especiais, com a respectiva comunicação ao Cofen via e-mail do resultado dos respectiva comunicação ao Cofen via e-mail do resultado dos atendimentos efetuados, logo após sua realização;</t>
  </si>
  <si>
    <t>2 . Elaboração de ATESTADOS DE SAÚDE OCUPACIONAL – ASO (Admissional, Demissional, Periódico, Mudança de Função e Retorno ao Trabalho) com classificação e laudo médico pericial para Portador de Necessidades Especiais, com a respectiva comunicação ao COFEN via email do resultado dos atendimentos efetuados, logo após sua realização;</t>
  </si>
  <si>
    <t>2 . Elaboração de ATESTADOS DE SAÚDE OCUPACIONAL – ASO (Admissional, Demissional, Periódico, Mudança de Função e Retorno ao Trabalho) com classificação e laudo médico pericial para Portador de Necessidades Especiais, com a respectiva comunicação ao COFEN via e-mail do resultado dos atendimentos efetuados, logo após sua realização;</t>
  </si>
  <si>
    <t xml:space="preserve">3. Realização de exames complementares e laudos de especialidades médicas previstos na Legislação e/ou determinados pelo Médico responsável do PCMSO, com a respectiva e 
comunicação ao Cofen via e-mail do resultado dos atendimentos efetuados, logo após sua realização; </t>
  </si>
  <si>
    <t>consulta médica</t>
  </si>
  <si>
    <t xml:space="preserve">3. Realização de exames complementares e laudos de especialidades médicas previstos na Legislação e/ou determinados pelo Médico responsável do PCMSO, com a respectiva e comunicação ao Cofen via e-mail do resultado dos atendimentos efetuados, logo após sua realização; </t>
  </si>
  <si>
    <t>perícia, laudo e avaliação</t>
  </si>
  <si>
    <t>12. Ginástica Laboral</t>
  </si>
  <si>
    <t>1. Elaboração de ATESTADOS DE SAÚDE 
OCUPACIONAL – ASO (Admissional, 
Demissional, Periódico, Mudança médico pericial para Portador de Necessidades Especiais, com a respectiva comunicação ao Cofen via e-mail do resultado dos respectiva comunicação ao Cofen via e-mail do resultado dos atendimentos efetuados, logo após sua realização;</t>
  </si>
  <si>
    <t>Salvador</t>
  </si>
  <si>
    <t>2 . Elaboração de ATESTADOS DE SAÚDE OCUPACIONAL – ASO (Admissional, Demissional, Periódico, Mudança de Função e Retorno ao Trabalho) com classificação e laudo médico pericial para Portador de Necessidades Especiais, com a respectiva comunicação ao COFEN via email do resultado dos atendimentos efetuados, em até 24 horas após a realização do atendimento e emissão do ASO;</t>
  </si>
  <si>
    <t>3. Realização de exames complementares previstos na Legislação e/ou determinados pelo Médico responsável do PCMSO, com a respectiva comunicação ao Cofen via e-mail do resultado dos atendimentos efetuados, em até 24 horas após a realização do atendimento e emissão do ASO;</t>
  </si>
  <si>
    <t>4. Emissão de laudos de especialidades médicas previstos na Legislação e/ou determinados pelo Médico responsável do PCMSO, com a respectiva comunicação ao Cofen via e-mail do resultado dos atendimentos efetuados, em até 24 horas após a realização do atendimento e emissão do ASO;</t>
  </si>
  <si>
    <t>17. Ginastica laboral</t>
  </si>
  <si>
    <t>VACINAÇÃO CONTRA GRIPE</t>
  </si>
  <si>
    <t>doses</t>
  </si>
  <si>
    <t>Perícia (e HOMOLOGAÇÔES) - PJ</t>
  </si>
  <si>
    <t xml:space="preserve">4. Realização de perícias para homologações de Atestado médicos, Conforme Lei n 605/1949, com respectiva comunicação ao Cofen via e-mail do resultado dos atendimentos efetuados, logo após sua realização </t>
  </si>
  <si>
    <t>5. Realização de perícias médicas e exames médicos periciais nos afastamentos superiores a 15 (quinze) dias, submetendo o empregado a exame médico, inclusive complementar, encaminhando à Previdência Social o respectivo laudo, para efeito de homologação e posterior concessão de benefício que depender de avaliação de incapacidade, Com a respectiva 
comunicação ao Cofen via e-mail do resultado dos atendimentos efetuados, logo após sua realização;</t>
  </si>
  <si>
    <t>5. Realização de perícias para homologações de atestados médicos, conforme Lei n° 605/1949, com a respectiva comunicação ao COFEN via email do resultado dos atendimentos efetuados, em até 24 horas após a realização do atendimento e emissão do ASO;</t>
  </si>
  <si>
    <t>6. Realização de perícias médicas e exames médicos periciais nos afastamentos superiores a 15 (quinze) dias, submetendo o empregado a exame médico, inclusive complementar, encaminhando à Previdência Social o respectivo laudo, para efeito de homologação e posterior concessão de benefício que depender de avaliação de incapacidade, com a respectiva comunicação ao COFEN via e-mail do resultado dos atendimentos efetuados, em até 24 horas após a realização do atendimento e emissão do ASO;</t>
  </si>
  <si>
    <t>Claro S.A (telefonia fixa - COFEN/DF))</t>
  </si>
  <si>
    <t>Claro S.A (telefonia fixa) ou substituta</t>
  </si>
  <si>
    <t>Telefônica do Brasil (TELEFONIA MÓVEL)</t>
  </si>
  <si>
    <t>Telefônica do Brasil (TELEFONIA MÓVEL) ou substituta</t>
  </si>
  <si>
    <t>Claro S.A (telefonia fixa - COFEN/RJ)</t>
  </si>
  <si>
    <t>OUTROS( ESPECIFICAR)</t>
  </si>
  <si>
    <t>Multa por Infração de Trânsito - Veículos e Encargos</t>
  </si>
  <si>
    <t>Outros Juros e Encargos de Mora</t>
  </si>
  <si>
    <t>DEPÓSITOS COMPULSÓRIOS</t>
  </si>
  <si>
    <t>Depósitos Compulsórios (obrigatório por lei)</t>
  </si>
  <si>
    <t>Depósitos Judiciais (obrigado por determinação judicial)</t>
  </si>
  <si>
    <t>Despesas não previstas - OUTRAS (administrativo) - reajustes, repactuações ou apostilamentos</t>
  </si>
  <si>
    <t>TRANSFERÊNCIAS INTRAGOVERNAMENTAIS</t>
  </si>
  <si>
    <t>Despesas a acrescentar:</t>
  </si>
  <si>
    <t xml:space="preserve">16. Campanhas educativas e de prevenção, com controle de frequência, e com temáticas que visem a Promoção à Saúde, a serem definidas em conjunto entre a CONTRATADA e o COFEN. Deverão ser elaborados e fornecidos pela CONTRATADA materiais informativos para divulgação e distribuição aos funcionários (folders, cartazes, etc) sobre o tema, principalmente voltados aos fatores condicionantes e determinantes do adoecimento humano; bem como os materiais necessários para a campanha, por exemplo, aferição da pressão, glicose, imc, dentre outros que venham a ser definidos. </t>
  </si>
  <si>
    <t>18. Assistência Social e atendimento presencial</t>
  </si>
  <si>
    <t>19. Serviços complementares ao PCMSO</t>
  </si>
  <si>
    <t xml:space="preserve">Software Analisador de impacto E-SOCIAL: A ferramenta de análise de impacto do E-social é utilizada para identificar e apoiar no tratamento de eventuais inconsistências entre as informações da base do sistema e o  que é esperado pelo e-social. </t>
  </si>
  <si>
    <t>Contratação de empresa para o fornecimento de ferrarmentas tecnológicas de suporte para a implantação do E-social.</t>
  </si>
  <si>
    <t>Serviços de Instalação e Configuração da mensageria para o E-social.</t>
  </si>
  <si>
    <t>Software do Ponto Eletrônico - licença (em substituição ao Secullum, que será descontinuado)</t>
  </si>
  <si>
    <t>Treinamento Software do Ponto Eletrônico</t>
  </si>
  <si>
    <t>ponto - equipamentos reps</t>
  </si>
  <si>
    <t>Relógio ponto, material: aço, mostrador: digital, tipo: eletrônico, funcionamento: conectado à rede de informática, tratamento superficial: pintura epóxi, tipo impressão: digitais - biométrico, características adicionais: integração c,qualquer rede software fr ponto e</t>
  </si>
  <si>
    <t>ponto - equipamentos - no breaks</t>
  </si>
  <si>
    <t>Serviço de fornecimento de 4 catracas de controle de acesso ao prédio, com software e manutenção</t>
  </si>
  <si>
    <t xml:space="preserve">         Divisão de Gestão de Pessoas - DGP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</si>
</sst>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dd/mm/yy"/>
    <numFmt numFmtId="166" formatCode="[$R$ -416]#,##0.00"/>
    <numFmt numFmtId="167" formatCode="&quot;R$&quot;#,##0.00"/>
    <numFmt numFmtId="168" formatCode="d/m/yy"/>
  </numFmts>
  <fonts count="78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4F6128"/>
      <name val="Calibri"/>
      <family val="2"/>
    </font>
    <font>
      <b/>
      <sz val="11"/>
      <color rgb="FF385623"/>
      <name val="Calibri"/>
      <family val="2"/>
    </font>
    <font>
      <sz val="14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5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9" tint="-0.499984740745262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FF0000"/>
      <name val="Calibri"/>
      <family val="2"/>
    </font>
    <font>
      <b/>
      <i/>
      <sz val="11"/>
      <color rgb="FF4F6128"/>
      <name val="Calibri"/>
      <family val="2"/>
    </font>
    <font>
      <b/>
      <sz val="11"/>
      <name val="Calibri"/>
      <family val="2"/>
    </font>
    <font>
      <b/>
      <sz val="11"/>
      <color theme="9" tint="-0.249977111117893"/>
      <name val="Calibri"/>
      <family val="2"/>
    </font>
    <font>
      <sz val="11"/>
      <color theme="1"/>
      <name val="Calibri "/>
    </font>
    <font>
      <b/>
      <sz val="11"/>
      <name val="Calibri "/>
    </font>
    <font>
      <sz val="11"/>
      <color rgb="FFFF0000"/>
      <name val="Calibri "/>
    </font>
    <font>
      <b/>
      <sz val="11"/>
      <color rgb="FF4F6128"/>
      <name val="Calibri "/>
    </font>
    <font>
      <b/>
      <sz val="11"/>
      <color rgb="FFFF0000"/>
      <name val="Calibri "/>
    </font>
    <font>
      <b/>
      <sz val="11"/>
      <color rgb="FF000000"/>
      <name val="Calibri "/>
    </font>
    <font>
      <sz val="11"/>
      <name val="Calibri"/>
      <family val="2"/>
    </font>
    <font>
      <sz val="11"/>
      <color theme="9" tint="-0.499984740745262"/>
      <name val="Calibri"/>
      <family val="2"/>
    </font>
    <font>
      <sz val="11"/>
      <color rgb="FF4F6128"/>
      <name val="Calibri "/>
    </font>
    <font>
      <b/>
      <sz val="11"/>
      <color theme="9" tint="-0.499984740745262"/>
      <name val="Calibri "/>
    </font>
    <font>
      <sz val="11"/>
      <color theme="9" tint="-0.499984740745262"/>
      <name val="Calibri "/>
    </font>
    <font>
      <b/>
      <sz val="20"/>
      <color rgb="FF000000"/>
      <name val="Calibri "/>
    </font>
    <font>
      <sz val="11"/>
      <color rgb="FF505457"/>
      <name val="Raleway"/>
    </font>
    <font>
      <sz val="11"/>
      <color rgb="FF000000"/>
      <name val="Calibri"/>
      <family val="2"/>
      <scheme val="minor"/>
    </font>
    <font>
      <sz val="11"/>
      <name val="Raleway"/>
    </font>
    <font>
      <sz val="11"/>
      <color theme="1"/>
      <name val="Raleway"/>
    </font>
    <font>
      <b/>
      <sz val="11"/>
      <color theme="1"/>
      <name val="Raleway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70C0"/>
      <name val="Calibri"/>
      <family val="2"/>
    </font>
    <font>
      <b/>
      <sz val="16"/>
      <color theme="1"/>
      <name val="Calibri"/>
      <family val="2"/>
    </font>
    <font>
      <b/>
      <sz val="12"/>
      <color theme="9" tint="-0.499984740745262"/>
      <name val="Calibri"/>
      <family val="2"/>
    </font>
    <font>
      <b/>
      <sz val="18"/>
      <color rgb="FF4F612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4F6128"/>
      <name val="Calibri"/>
      <family val="2"/>
    </font>
    <font>
      <b/>
      <sz val="11"/>
      <color rgb="FF9BE2E9"/>
      <name val="Calibri"/>
      <family val="2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1"/>
      <color rgb="FF4F6128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b/>
      <sz val="18"/>
      <color theme="1"/>
      <name val="Arial"/>
    </font>
    <font>
      <sz val="11"/>
      <color rgb="FFFF000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BD4B4"/>
      </patternFill>
    </fill>
    <fill>
      <patternFill patternType="solid">
        <fgColor theme="0" tint="-0.14999847407452621"/>
        <bgColor rgb="FFF7CAAC"/>
      </patternFill>
    </fill>
    <fill>
      <patternFill patternType="solid">
        <fgColor theme="0" tint="-0.14999847407452621"/>
        <bgColor rgb="FFB6DD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6"/>
        <bgColor rgb="FFFBD4B4"/>
      </patternFill>
    </fill>
    <fill>
      <patternFill patternType="solid">
        <fgColor theme="6"/>
        <bgColor rgb="FFF7CAAC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FBD4B4"/>
      </patternFill>
    </fill>
    <fill>
      <patternFill patternType="solid">
        <fgColor rgb="FFF7CAAC"/>
        <bgColor rgb="FFF7CAAC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rgb="FF92D05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00FF00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9" applyNumberFormat="0" applyFill="0" applyAlignment="0" applyProtection="0"/>
    <xf numFmtId="43" fontId="47" fillId="0" borderId="0" applyFont="0" applyFill="0" applyBorder="0" applyAlignment="0" applyProtection="0"/>
  </cellStyleXfs>
  <cellXfs count="733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Font="1"/>
    <xf numFmtId="0" fontId="6" fillId="0" borderId="0" xfId="0" applyFont="1" applyBorder="1"/>
    <xf numFmtId="0" fontId="0" fillId="0" borderId="0" xfId="0" applyBorder="1"/>
    <xf numFmtId="0" fontId="10" fillId="0" borderId="0" xfId="0" applyFont="1" applyAlignment="1">
      <alignment horizontal="left" readingOrder="1"/>
    </xf>
    <xf numFmtId="0" fontId="8" fillId="0" borderId="0" xfId="0" applyFont="1" applyAlignment="1">
      <alignment horizontal="left" readingOrder="1"/>
    </xf>
    <xf numFmtId="0" fontId="13" fillId="0" borderId="0" xfId="0" applyFont="1" applyAlignment="1">
      <alignment vertical="center" readingOrder="1"/>
    </xf>
    <xf numFmtId="0" fontId="0" fillId="0" borderId="0" xfId="0" applyFont="1" applyAlignment="1">
      <alignment vertical="center" readingOrder="1"/>
    </xf>
    <xf numFmtId="4" fontId="0" fillId="2" borderId="0" xfId="0" applyNumberFormat="1" applyFill="1"/>
    <xf numFmtId="0" fontId="0" fillId="2" borderId="0" xfId="0" applyFill="1"/>
    <xf numFmtId="0" fontId="0" fillId="0" borderId="0" xfId="0"/>
    <xf numFmtId="4" fontId="8" fillId="4" borderId="1" xfId="0" applyNumberFormat="1" applyFont="1" applyFill="1" applyBorder="1" applyAlignment="1">
      <alignment horizontal="left" vertical="center" wrapText="1" readingOrder="1"/>
    </xf>
    <xf numFmtId="4" fontId="0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left" wrapText="1" readingOrder="1"/>
    </xf>
    <xf numFmtId="0" fontId="0" fillId="0" borderId="0" xfId="0" applyFill="1"/>
    <xf numFmtId="0" fontId="20" fillId="0" borderId="0" xfId="0" applyFont="1" applyFill="1" applyAlignment="1">
      <alignment horizontal="left" wrapText="1" readingOrder="1"/>
    </xf>
    <xf numFmtId="0" fontId="4" fillId="6" borderId="2" xfId="0" applyFont="1" applyFill="1" applyBorder="1" applyAlignment="1">
      <alignment horizontal="left" vertical="center" wrapText="1" readingOrder="1"/>
    </xf>
    <xf numFmtId="0" fontId="26" fillId="6" borderId="2" xfId="0" applyFont="1" applyFill="1" applyBorder="1" applyAlignment="1">
      <alignment horizontal="left" wrapText="1" readingOrder="1"/>
    </xf>
    <xf numFmtId="0" fontId="20" fillId="6" borderId="2" xfId="0" applyFont="1" applyFill="1" applyBorder="1" applyAlignment="1">
      <alignment horizontal="left" vertical="center" wrapText="1" readingOrder="1"/>
    </xf>
    <xf numFmtId="164" fontId="4" fillId="6" borderId="2" xfId="0" applyNumberFormat="1" applyFont="1" applyFill="1" applyBorder="1" applyAlignment="1">
      <alignment horizontal="right" vertical="center" wrapText="1" readingOrder="1"/>
    </xf>
    <xf numFmtId="0" fontId="4" fillId="6" borderId="2" xfId="0" applyFont="1" applyFill="1" applyBorder="1" applyAlignment="1">
      <alignment horizontal="left" wrapText="1" readingOrder="1"/>
    </xf>
    <xf numFmtId="0" fontId="24" fillId="6" borderId="2" xfId="0" applyFont="1" applyFill="1" applyBorder="1" applyAlignment="1">
      <alignment horizontal="left" wrapText="1" readingOrder="1"/>
    </xf>
    <xf numFmtId="0" fontId="2" fillId="6" borderId="2" xfId="0" applyFont="1" applyFill="1" applyBorder="1" applyAlignment="1">
      <alignment horizontal="left" wrapText="1" readingOrder="1"/>
    </xf>
    <xf numFmtId="0" fontId="27" fillId="5" borderId="2" xfId="0" applyFont="1" applyFill="1" applyBorder="1" applyAlignment="1">
      <alignment horizontal="left" vertical="center" wrapText="1" readingOrder="1"/>
    </xf>
    <xf numFmtId="0" fontId="3" fillId="6" borderId="2" xfId="0" applyFont="1" applyFill="1" applyBorder="1" applyAlignment="1">
      <alignment horizontal="left" wrapText="1" readingOrder="1"/>
    </xf>
    <xf numFmtId="0" fontId="17" fillId="0" borderId="0" xfId="1" applyFont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 readingOrder="1"/>
    </xf>
    <xf numFmtId="4" fontId="31" fillId="6" borderId="2" xfId="0" applyNumberFormat="1" applyFont="1" applyFill="1" applyBorder="1" applyAlignment="1">
      <alignment horizontal="center" vertical="center" wrapText="1" readingOrder="1"/>
    </xf>
    <xf numFmtId="0" fontId="32" fillId="6" borderId="2" xfId="0" applyFont="1" applyFill="1" applyBorder="1" applyAlignment="1">
      <alignment horizontal="center" vertical="center" wrapText="1" readingOrder="1"/>
    </xf>
    <xf numFmtId="4" fontId="32" fillId="6" borderId="2" xfId="0" applyNumberFormat="1" applyFont="1" applyFill="1" applyBorder="1" applyAlignment="1">
      <alignment horizontal="center" vertical="center" wrapText="1" readingOrder="1"/>
    </xf>
    <xf numFmtId="0" fontId="32" fillId="6" borderId="2" xfId="0" applyFont="1" applyFill="1" applyBorder="1" applyAlignment="1">
      <alignment horizontal="center" vertical="center" wrapText="1"/>
    </xf>
    <xf numFmtId="4" fontId="32" fillId="6" borderId="2" xfId="0" applyNumberFormat="1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 readingOrder="1"/>
    </xf>
    <xf numFmtId="4" fontId="34" fillId="6" borderId="2" xfId="0" applyNumberFormat="1" applyFont="1" applyFill="1" applyBorder="1" applyAlignment="1">
      <alignment horizontal="center" vertical="center" wrapText="1" readingOrder="1"/>
    </xf>
    <xf numFmtId="0" fontId="31" fillId="6" borderId="11" xfId="0" applyFont="1" applyFill="1" applyBorder="1" applyAlignment="1">
      <alignment horizontal="center" vertical="center" wrapText="1" readingOrder="1"/>
    </xf>
    <xf numFmtId="4" fontId="31" fillId="6" borderId="11" xfId="0" applyNumberFormat="1" applyFont="1" applyFill="1" applyBorder="1" applyAlignment="1">
      <alignment horizontal="center" vertical="center" wrapText="1" readingOrder="1"/>
    </xf>
    <xf numFmtId="4" fontId="35" fillId="5" borderId="2" xfId="0" applyNumberFormat="1" applyFont="1" applyFill="1" applyBorder="1" applyAlignment="1">
      <alignment horizontal="center" vertical="center" wrapText="1" readingOrder="1"/>
    </xf>
    <xf numFmtId="4" fontId="4" fillId="5" borderId="2" xfId="0" applyNumberFormat="1" applyFont="1" applyFill="1" applyBorder="1" applyAlignment="1">
      <alignment horizontal="center" vertical="center" wrapText="1" readingOrder="1"/>
    </xf>
    <xf numFmtId="4" fontId="2" fillId="5" borderId="2" xfId="0" applyNumberFormat="1" applyFont="1" applyFill="1" applyBorder="1" applyAlignment="1">
      <alignment horizontal="center" vertical="center" wrapText="1" readingOrder="1"/>
    </xf>
    <xf numFmtId="4" fontId="2" fillId="7" borderId="2" xfId="0" applyNumberFormat="1" applyFont="1" applyFill="1" applyBorder="1" applyAlignment="1">
      <alignment horizontal="center" vertical="center" wrapText="1" readingOrder="1"/>
    </xf>
    <xf numFmtId="4" fontId="2" fillId="8" borderId="2" xfId="0" applyNumberFormat="1" applyFont="1" applyFill="1" applyBorder="1" applyAlignment="1">
      <alignment horizontal="center" vertical="center" wrapText="1" readingOrder="1"/>
    </xf>
    <xf numFmtId="4" fontId="20" fillId="5" borderId="2" xfId="0" applyNumberFormat="1" applyFont="1" applyFill="1" applyBorder="1" applyAlignment="1">
      <alignment horizontal="center" vertical="center" wrapText="1" readingOrder="1"/>
    </xf>
    <xf numFmtId="4" fontId="36" fillId="5" borderId="2" xfId="0" applyNumberFormat="1" applyFont="1" applyFill="1" applyBorder="1" applyAlignment="1">
      <alignment horizontal="center" vertical="center" wrapText="1" readingOrder="1"/>
    </xf>
    <xf numFmtId="4" fontId="0" fillId="10" borderId="1" xfId="0" applyNumberFormat="1" applyFill="1" applyBorder="1" applyAlignment="1">
      <alignment horizontal="center" vertical="center" wrapText="1" readingOrder="1"/>
    </xf>
    <xf numFmtId="4" fontId="29" fillId="11" borderId="1" xfId="0" applyNumberFormat="1" applyFont="1" applyFill="1" applyBorder="1" applyAlignment="1">
      <alignment horizontal="center" vertical="center" wrapText="1" readingOrder="1"/>
    </xf>
    <xf numFmtId="4" fontId="0" fillId="11" borderId="1" xfId="0" applyNumberFormat="1" applyFill="1" applyBorder="1" applyAlignment="1">
      <alignment horizontal="center" vertical="center" wrapText="1" readingOrder="1"/>
    </xf>
    <xf numFmtId="0" fontId="1" fillId="9" borderId="1" xfId="0" quotePrefix="1" applyFont="1" applyFill="1" applyBorder="1" applyAlignment="1">
      <alignment vertical="center" wrapText="1" readingOrder="1"/>
    </xf>
    <xf numFmtId="4" fontId="8" fillId="10" borderId="4" xfId="0" applyNumberFormat="1" applyFont="1" applyFill="1" applyBorder="1" applyAlignment="1">
      <alignment horizontal="left" vertical="center" wrapText="1" readingOrder="1"/>
    </xf>
    <xf numFmtId="4" fontId="0" fillId="10" borderId="1" xfId="0" applyNumberFormat="1" applyFont="1" applyFill="1" applyBorder="1" applyAlignment="1">
      <alignment horizontal="center" vertical="center" wrapText="1" readingOrder="1"/>
    </xf>
    <xf numFmtId="4" fontId="0" fillId="10" borderId="1" xfId="0" applyNumberFormat="1" applyFont="1" applyFill="1" applyBorder="1" applyAlignment="1">
      <alignment horizontal="center" vertical="center" readingOrder="1"/>
    </xf>
    <xf numFmtId="4" fontId="29" fillId="10" borderId="1" xfId="0" applyNumberFormat="1" applyFont="1" applyFill="1" applyBorder="1" applyAlignment="1">
      <alignment horizontal="center" vertical="center" wrapText="1" readingOrder="1"/>
    </xf>
    <xf numFmtId="0" fontId="35" fillId="5" borderId="2" xfId="0" applyFont="1" applyFill="1" applyBorder="1" applyAlignment="1">
      <alignment vertical="center" wrapText="1" readingOrder="1"/>
    </xf>
    <xf numFmtId="0" fontId="4" fillId="5" borderId="2" xfId="0" applyFont="1" applyFill="1" applyBorder="1" applyAlignment="1">
      <alignment vertical="center" wrapText="1" readingOrder="1"/>
    </xf>
    <xf numFmtId="0" fontId="2" fillId="5" borderId="2" xfId="0" applyFont="1" applyFill="1" applyBorder="1" applyAlignment="1">
      <alignment vertical="center" wrapText="1" readingOrder="1"/>
    </xf>
    <xf numFmtId="0" fontId="2" fillId="7" borderId="2" xfId="0" applyFont="1" applyFill="1" applyBorder="1" applyAlignment="1">
      <alignment vertical="center" wrapText="1" readingOrder="1"/>
    </xf>
    <xf numFmtId="0" fontId="2" fillId="8" borderId="2" xfId="0" applyFont="1" applyFill="1" applyBorder="1" applyAlignment="1">
      <alignment vertical="center" wrapText="1" readingOrder="1"/>
    </xf>
    <xf numFmtId="0" fontId="20" fillId="5" borderId="2" xfId="0" applyFont="1" applyFill="1" applyBorder="1" applyAlignment="1">
      <alignment vertical="center" wrapText="1" readingOrder="1"/>
    </xf>
    <xf numFmtId="0" fontId="31" fillId="6" borderId="2" xfId="0" applyFont="1" applyFill="1" applyBorder="1" applyAlignment="1">
      <alignment vertical="center" wrapText="1" readingOrder="1"/>
    </xf>
    <xf numFmtId="0" fontId="32" fillId="6" borderId="2" xfId="0" applyFont="1" applyFill="1" applyBorder="1" applyAlignment="1">
      <alignment vertical="center" wrapText="1" readingOrder="1"/>
    </xf>
    <xf numFmtId="0" fontId="32" fillId="6" borderId="2" xfId="0" applyFont="1" applyFill="1" applyBorder="1" applyAlignment="1">
      <alignment vertical="center" wrapText="1"/>
    </xf>
    <xf numFmtId="0" fontId="34" fillId="6" borderId="2" xfId="0" applyFont="1" applyFill="1" applyBorder="1" applyAlignment="1">
      <alignment vertical="center" wrapText="1" readingOrder="1"/>
    </xf>
    <xf numFmtId="0" fontId="33" fillId="6" borderId="2" xfId="0" applyFont="1" applyFill="1" applyBorder="1" applyAlignment="1">
      <alignment vertical="center" wrapText="1" readingOrder="1"/>
    </xf>
    <xf numFmtId="0" fontId="31" fillId="6" borderId="11" xfId="0" applyFont="1" applyFill="1" applyBorder="1" applyAlignment="1">
      <alignment vertical="center" wrapText="1" readingOrder="1"/>
    </xf>
    <xf numFmtId="0" fontId="40" fillId="9" borderId="12" xfId="0" quotePrefix="1" applyFont="1" applyFill="1" applyBorder="1" applyAlignment="1">
      <alignment horizontal="center" vertical="center" wrapText="1" readingOrder="1"/>
    </xf>
    <xf numFmtId="0" fontId="18" fillId="9" borderId="12" xfId="0" quotePrefix="1" applyFont="1" applyFill="1" applyBorder="1" applyAlignment="1">
      <alignment horizontal="center" vertical="center" wrapText="1" readingOrder="1"/>
    </xf>
    <xf numFmtId="0" fontId="40" fillId="11" borderId="1" xfId="0" quotePrefix="1" applyFont="1" applyFill="1" applyBorder="1" applyAlignment="1">
      <alignment horizontal="center" vertical="center" wrapText="1" readingOrder="1"/>
    </xf>
    <xf numFmtId="0" fontId="18" fillId="9" borderId="1" xfId="0" quotePrefix="1" applyFont="1" applyFill="1" applyBorder="1" applyAlignment="1">
      <alignment vertical="center" wrapText="1" readingOrder="1"/>
    </xf>
    <xf numFmtId="0" fontId="8" fillId="6" borderId="8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 readingOrder="1"/>
    </xf>
    <xf numFmtId="0" fontId="23" fillId="3" borderId="1" xfId="0" quotePrefix="1" applyFont="1" applyFill="1" applyBorder="1" applyAlignment="1">
      <alignment vertical="center" wrapText="1" readingOrder="1"/>
    </xf>
    <xf numFmtId="0" fontId="35" fillId="5" borderId="1" xfId="0" applyFont="1" applyFill="1" applyBorder="1" applyAlignment="1">
      <alignment horizontal="left" wrapText="1" readingOrder="1"/>
    </xf>
    <xf numFmtId="0" fontId="0" fillId="6" borderId="1" xfId="0" applyFont="1" applyFill="1" applyBorder="1" applyAlignment="1">
      <alignment wrapText="1"/>
    </xf>
    <xf numFmtId="0" fontId="0" fillId="5" borderId="5" xfId="0" applyFont="1" applyFill="1" applyBorder="1" applyAlignment="1">
      <alignment horizontal="center" vertical="center" wrapText="1" readingOrder="1"/>
    </xf>
    <xf numFmtId="0" fontId="8" fillId="5" borderId="5" xfId="0" applyFont="1" applyFill="1" applyBorder="1" applyAlignment="1">
      <alignment horizontal="left" wrapText="1" readingOrder="1"/>
    </xf>
    <xf numFmtId="2" fontId="12" fillId="5" borderId="2" xfId="0" applyNumberFormat="1" applyFont="1" applyFill="1" applyBorder="1" applyAlignment="1">
      <alignment horizontal="left" vertical="center" wrapText="1" readingOrder="1"/>
    </xf>
    <xf numFmtId="2" fontId="0" fillId="10" borderId="1" xfId="0" applyNumberFormat="1" applyFont="1" applyFill="1" applyBorder="1" applyAlignment="1">
      <alignment horizontal="center" vertical="center" readingOrder="1"/>
    </xf>
    <xf numFmtId="2" fontId="0" fillId="10" borderId="1" xfId="0" applyNumberFormat="1" applyFont="1" applyFill="1" applyBorder="1" applyAlignment="1">
      <alignment horizontal="center" vertical="center" wrapText="1" readingOrder="1"/>
    </xf>
    <xf numFmtId="2" fontId="0" fillId="10" borderId="1" xfId="0" applyNumberFormat="1" applyFill="1" applyBorder="1" applyAlignment="1">
      <alignment horizontal="center" vertical="center" wrapText="1" readingOrder="1"/>
    </xf>
    <xf numFmtId="2" fontId="0" fillId="4" borderId="1" xfId="0" applyNumberFormat="1" applyFont="1" applyFill="1" applyBorder="1" applyAlignment="1">
      <alignment horizontal="center" vertical="center" readingOrder="1"/>
    </xf>
    <xf numFmtId="2" fontId="0" fillId="4" borderId="1" xfId="0" applyNumberFormat="1" applyFont="1" applyFill="1" applyBorder="1" applyAlignment="1">
      <alignment horizontal="center" vertical="center" wrapText="1" readingOrder="1"/>
    </xf>
    <xf numFmtId="2" fontId="11" fillId="5" borderId="2" xfId="0" applyNumberFormat="1" applyFont="1" applyFill="1" applyBorder="1" applyAlignment="1">
      <alignment horizontal="center" vertical="center" wrapText="1" readingOrder="1"/>
    </xf>
    <xf numFmtId="2" fontId="12" fillId="5" borderId="2" xfId="0" applyNumberFormat="1" applyFont="1" applyFill="1" applyBorder="1" applyAlignment="1">
      <alignment horizontal="center" vertical="center" wrapText="1" readingOrder="1"/>
    </xf>
    <xf numFmtId="2" fontId="4" fillId="5" borderId="2" xfId="0" applyNumberFormat="1" applyFont="1" applyFill="1" applyBorder="1" applyAlignment="1">
      <alignment horizontal="right" vertical="center" wrapText="1" readingOrder="1"/>
    </xf>
    <xf numFmtId="2" fontId="4" fillId="5" borderId="2" xfId="0" applyNumberFormat="1" applyFont="1" applyFill="1" applyBorder="1" applyAlignment="1">
      <alignment horizontal="center" vertical="center" wrapText="1" readingOrder="1"/>
    </xf>
    <xf numFmtId="4" fontId="0" fillId="0" borderId="1" xfId="0" applyNumberFormat="1" applyFill="1" applyBorder="1" applyAlignment="1">
      <alignment vertical="center" wrapText="1" readingOrder="1"/>
    </xf>
    <xf numFmtId="0" fontId="1" fillId="11" borderId="10" xfId="0" quotePrefix="1" applyFont="1" applyFill="1" applyBorder="1" applyAlignment="1">
      <alignment horizontal="center" vertical="center" wrapText="1" readingOrder="1"/>
    </xf>
    <xf numFmtId="0" fontId="2" fillId="14" borderId="2" xfId="0" applyFont="1" applyFill="1" applyBorder="1" applyAlignment="1">
      <alignment horizontal="left" wrapText="1" readingOrder="1"/>
    </xf>
    <xf numFmtId="0" fontId="4" fillId="14" borderId="2" xfId="0" applyFont="1" applyFill="1" applyBorder="1" applyAlignment="1">
      <alignment horizontal="left" wrapText="1" readingOrder="1"/>
    </xf>
    <xf numFmtId="4" fontId="2" fillId="14" borderId="2" xfId="0" applyNumberFormat="1" applyFont="1" applyFill="1" applyBorder="1" applyAlignment="1">
      <alignment horizontal="center" vertical="top" wrapText="1" readingOrder="1"/>
    </xf>
    <xf numFmtId="0" fontId="3" fillId="14" borderId="2" xfId="0" applyFont="1" applyFill="1" applyBorder="1" applyAlignment="1">
      <alignment horizontal="left" wrapText="1" readingOrder="1"/>
    </xf>
    <xf numFmtId="4" fontId="3" fillId="14" borderId="2" xfId="0" applyNumberFormat="1" applyFont="1" applyFill="1" applyBorder="1" applyAlignment="1">
      <alignment horizontal="right" wrapText="1" readingOrder="1"/>
    </xf>
    <xf numFmtId="4" fontId="4" fillId="14" borderId="2" xfId="0" applyNumberFormat="1" applyFont="1" applyFill="1" applyBorder="1" applyAlignment="1">
      <alignment horizontal="right" wrapText="1" readingOrder="1"/>
    </xf>
    <xf numFmtId="4" fontId="0" fillId="16" borderId="1" xfId="0" applyNumberFormat="1" applyFill="1" applyBorder="1" applyAlignment="1">
      <alignment horizontal="center" vertical="center" wrapText="1" readingOrder="1"/>
    </xf>
    <xf numFmtId="4" fontId="0" fillId="16" borderId="1" xfId="0" applyNumberFormat="1" applyFont="1" applyFill="1" applyBorder="1" applyAlignment="1">
      <alignment horizontal="center" vertical="center" wrapText="1" readingOrder="1"/>
    </xf>
    <xf numFmtId="0" fontId="3" fillId="12" borderId="16" xfId="0" applyFont="1" applyFill="1" applyBorder="1" applyAlignment="1">
      <alignment wrapText="1" readingOrder="1"/>
    </xf>
    <xf numFmtId="0" fontId="3" fillId="12" borderId="17" xfId="0" applyFont="1" applyFill="1" applyBorder="1" applyAlignment="1">
      <alignment wrapText="1" readingOrder="1"/>
    </xf>
    <xf numFmtId="0" fontId="7" fillId="12" borderId="17" xfId="0" applyFont="1" applyFill="1" applyBorder="1" applyAlignment="1">
      <alignment horizontal="center" vertical="center" wrapText="1" readingOrder="1"/>
    </xf>
    <xf numFmtId="0" fontId="3" fillId="12" borderId="17" xfId="0" applyFont="1" applyFill="1" applyBorder="1" applyAlignment="1">
      <alignment horizontal="center" vertical="center" wrapText="1" readingOrder="1"/>
    </xf>
    <xf numFmtId="0" fontId="49" fillId="0" borderId="18" xfId="0" applyFont="1" applyFill="1" applyBorder="1" applyAlignment="1">
      <alignment vertical="center" wrapText="1" readingOrder="1"/>
    </xf>
    <xf numFmtId="0" fontId="27" fillId="0" borderId="19" xfId="0" applyFont="1" applyFill="1" applyBorder="1" applyAlignment="1">
      <alignment vertical="center" wrapText="1" readingOrder="1"/>
    </xf>
    <xf numFmtId="0" fontId="27" fillId="0" borderId="1" xfId="0" applyFont="1" applyFill="1" applyBorder="1" applyAlignment="1">
      <alignment horizontal="left" wrapText="1" readingOrder="1"/>
    </xf>
    <xf numFmtId="0" fontId="27" fillId="0" borderId="1" xfId="0" applyFont="1" applyFill="1" applyBorder="1" applyAlignment="1">
      <alignment horizontal="center" vertical="center" wrapText="1" readingOrder="1"/>
    </xf>
    <xf numFmtId="44" fontId="35" fillId="0" borderId="1" xfId="0" applyNumberFormat="1" applyFont="1" applyFill="1" applyBorder="1" applyAlignment="1">
      <alignment horizontal="center" vertical="center" wrapText="1" readingOrder="1"/>
    </xf>
    <xf numFmtId="44" fontId="0" fillId="0" borderId="1" xfId="0" applyNumberFormat="1" applyFill="1" applyBorder="1" applyAlignment="1">
      <alignment horizontal="center" vertical="center"/>
    </xf>
    <xf numFmtId="44" fontId="50" fillId="0" borderId="1" xfId="0" applyNumberFormat="1" applyFont="1" applyFill="1" applyBorder="1" applyAlignment="1">
      <alignment horizontal="center" vertical="center"/>
    </xf>
    <xf numFmtId="0" fontId="51" fillId="17" borderId="10" xfId="0" applyFont="1" applyFill="1" applyBorder="1" applyAlignment="1">
      <alignment wrapText="1" readingOrder="1"/>
    </xf>
    <xf numFmtId="0" fontId="51" fillId="17" borderId="20" xfId="0" applyFont="1" applyFill="1" applyBorder="1" applyAlignment="1">
      <alignment wrapText="1" readingOrder="1"/>
    </xf>
    <xf numFmtId="4" fontId="0" fillId="17" borderId="1" xfId="0" applyNumberFormat="1" applyFill="1" applyBorder="1" applyAlignment="1">
      <alignment horizontal="left" vertical="center" wrapText="1" readingOrder="1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 readingOrder="1"/>
    </xf>
    <xf numFmtId="44" fontId="35" fillId="17" borderId="1" xfId="0" applyNumberFormat="1" applyFont="1" applyFill="1" applyBorder="1" applyAlignment="1">
      <alignment horizontal="center" vertical="center" wrapText="1" readingOrder="1"/>
    </xf>
    <xf numFmtId="44" fontId="14" fillId="17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 indent="2" readingOrder="1"/>
    </xf>
    <xf numFmtId="0" fontId="12" fillId="0" borderId="20" xfId="0" applyFont="1" applyFill="1" applyBorder="1" applyAlignment="1">
      <alignment vertical="center" wrapText="1" readingOrder="1"/>
    </xf>
    <xf numFmtId="4" fontId="0" fillId="0" borderId="21" xfId="0" applyNumberFormat="1" applyFill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readingOrder="1"/>
    </xf>
    <xf numFmtId="0" fontId="14" fillId="0" borderId="1" xfId="0" applyFont="1" applyFill="1" applyBorder="1" applyAlignment="1">
      <alignment horizontal="center" vertical="center"/>
    </xf>
    <xf numFmtId="4" fontId="0" fillId="17" borderId="1" xfId="0" applyNumberFormat="1" applyFill="1" applyBorder="1" applyAlignment="1">
      <alignment horizontal="left" vertical="center" readingOrder="1"/>
    </xf>
    <xf numFmtId="44" fontId="0" fillId="17" borderId="1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wrapText="1" indent="2" readingOrder="1"/>
    </xf>
    <xf numFmtId="0" fontId="12" fillId="0" borderId="20" xfId="0" applyFont="1" applyFill="1" applyBorder="1" applyAlignment="1">
      <alignment wrapText="1" readingOrder="1"/>
    </xf>
    <xf numFmtId="4" fontId="0" fillId="0" borderId="1" xfId="0" applyNumberFormat="1" applyFill="1" applyBorder="1" applyAlignment="1">
      <alignment horizontal="left" vertical="center" readingOrder="1"/>
    </xf>
    <xf numFmtId="44" fontId="0" fillId="0" borderId="1" xfId="0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wrapText="1" readingOrder="1"/>
    </xf>
    <xf numFmtId="0" fontId="3" fillId="12" borderId="0" xfId="0" applyFont="1" applyFill="1" applyBorder="1" applyAlignment="1">
      <alignment wrapText="1" readingOrder="1"/>
    </xf>
    <xf numFmtId="0" fontId="7" fillId="12" borderId="0" xfId="0" applyFont="1" applyFill="1" applyBorder="1" applyAlignment="1">
      <alignment horizontal="center" vertical="center" wrapText="1" readingOrder="1"/>
    </xf>
    <xf numFmtId="0" fontId="3" fillId="12" borderId="0" xfId="0" applyFont="1" applyFill="1" applyBorder="1" applyAlignment="1">
      <alignment horizontal="center" vertical="center" wrapText="1" readingOrder="1"/>
    </xf>
    <xf numFmtId="0" fontId="27" fillId="0" borderId="10" xfId="0" applyFont="1" applyFill="1" applyBorder="1" applyAlignment="1">
      <alignment wrapText="1" readingOrder="1"/>
    </xf>
    <xf numFmtId="0" fontId="27" fillId="0" borderId="20" xfId="0" applyFont="1" applyFill="1" applyBorder="1" applyAlignment="1">
      <alignment wrapText="1" readingOrder="1"/>
    </xf>
    <xf numFmtId="0" fontId="52" fillId="0" borderId="10" xfId="0" applyFont="1" applyFill="1" applyBorder="1" applyAlignment="1">
      <alignment wrapText="1" readingOrder="1"/>
    </xf>
    <xf numFmtId="0" fontId="53" fillId="0" borderId="20" xfId="0" applyFont="1" applyFill="1" applyBorder="1" applyAlignment="1">
      <alignment wrapText="1" readingOrder="1"/>
    </xf>
    <xf numFmtId="4" fontId="50" fillId="0" borderId="1" xfId="0" applyNumberFormat="1" applyFont="1" applyFill="1" applyBorder="1" applyAlignment="1">
      <alignment horizontal="left" vertical="center" readingOrder="1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readingOrder="1"/>
    </xf>
    <xf numFmtId="4" fontId="0" fillId="0" borderId="1" xfId="0" applyNumberFormat="1" applyFill="1" applyBorder="1" applyAlignment="1">
      <alignment horizontal="left" vertical="center" wrapText="1" readingOrder="1"/>
    </xf>
    <xf numFmtId="0" fontId="51" fillId="17" borderId="23" xfId="0" applyFont="1" applyFill="1" applyBorder="1" applyAlignment="1">
      <alignment wrapText="1" readingOrder="1"/>
    </xf>
    <xf numFmtId="0" fontId="51" fillId="17" borderId="24" xfId="0" applyFont="1" applyFill="1" applyBorder="1" applyAlignment="1">
      <alignment wrapText="1" readingOrder="1"/>
    </xf>
    <xf numFmtId="0" fontId="12" fillId="0" borderId="23" xfId="0" applyFont="1" applyFill="1" applyBorder="1" applyAlignment="1">
      <alignment horizontal="left" vertical="center" wrapText="1" indent="2" readingOrder="1"/>
    </xf>
    <xf numFmtId="0" fontId="0" fillId="0" borderId="25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 readingOrder="1"/>
    </xf>
    <xf numFmtId="44" fontId="0" fillId="0" borderId="21" xfId="0" applyNumberFormat="1" applyFont="1" applyFill="1" applyBorder="1" applyAlignment="1">
      <alignment horizontal="center" vertical="center"/>
    </xf>
    <xf numFmtId="44" fontId="0" fillId="0" borderId="21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 indent="2" readingOrder="1"/>
    </xf>
    <xf numFmtId="0" fontId="0" fillId="0" borderId="7" xfId="0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 indent="2" readingOrder="1"/>
    </xf>
    <xf numFmtId="0" fontId="0" fillId="0" borderId="2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readingOrder="1"/>
    </xf>
    <xf numFmtId="44" fontId="0" fillId="0" borderId="7" xfId="0" applyNumberFormat="1" applyFont="1" applyFill="1" applyBorder="1" applyAlignment="1">
      <alignment horizontal="center" vertical="center"/>
    </xf>
    <xf numFmtId="44" fontId="0" fillId="0" borderId="7" xfId="0" applyNumberFormat="1" applyFill="1" applyBorder="1" applyAlignment="1">
      <alignment horizontal="center" vertical="center"/>
    </xf>
    <xf numFmtId="44" fontId="0" fillId="17" borderId="1" xfId="0" applyNumberFormat="1" applyFill="1" applyBorder="1" applyAlignment="1">
      <alignment horizontal="center" vertical="center"/>
    </xf>
    <xf numFmtId="0" fontId="51" fillId="17" borderId="28" xfId="0" applyFont="1" applyFill="1" applyBorder="1" applyAlignment="1">
      <alignment wrapText="1" readingOrder="1"/>
    </xf>
    <xf numFmtId="0" fontId="51" fillId="17" borderId="4" xfId="0" applyFont="1" applyFill="1" applyBorder="1" applyAlignment="1">
      <alignment wrapText="1" readingOrder="1"/>
    </xf>
    <xf numFmtId="0" fontId="27" fillId="0" borderId="29" xfId="0" applyFont="1" applyFill="1" applyBorder="1" applyAlignment="1">
      <alignment horizontal="left" wrapText="1" indent="2" readingOrder="1"/>
    </xf>
    <xf numFmtId="0" fontId="51" fillId="0" borderId="4" xfId="0" applyFont="1" applyFill="1" applyBorder="1" applyAlignment="1">
      <alignment horizontal="left" wrapText="1" readingOrder="1"/>
    </xf>
    <xf numFmtId="4" fontId="0" fillId="0" borderId="4" xfId="0" applyNumberFormat="1" applyFill="1" applyBorder="1" applyAlignment="1">
      <alignment horizontal="left" vertical="center" wrapText="1" readingOrder="1"/>
    </xf>
    <xf numFmtId="0" fontId="27" fillId="0" borderId="29" xfId="0" applyFont="1" applyFill="1" applyBorder="1" applyAlignment="1">
      <alignment horizontal="left" vertical="center" wrapText="1" indent="2" readingOrder="1"/>
    </xf>
    <xf numFmtId="0" fontId="12" fillId="0" borderId="29" xfId="0" applyFont="1" applyFill="1" applyBorder="1" applyAlignment="1">
      <alignment horizontal="left" vertical="center" wrapText="1" indent="2" readingOrder="1"/>
    </xf>
    <xf numFmtId="0" fontId="12" fillId="0" borderId="4" xfId="0" applyFont="1" applyFill="1" applyBorder="1" applyAlignment="1">
      <alignment vertical="center" wrapText="1" readingOrder="1"/>
    </xf>
    <xf numFmtId="0" fontId="12" fillId="0" borderId="4" xfId="0" applyFont="1" applyFill="1" applyBorder="1" applyAlignment="1">
      <alignment horizontal="center" vertical="center" wrapText="1" readingOrder="1"/>
    </xf>
    <xf numFmtId="0" fontId="11" fillId="0" borderId="4" xfId="0" applyFont="1" applyFill="1" applyBorder="1" applyAlignment="1">
      <alignment vertical="center" wrapText="1" readingOrder="1"/>
    </xf>
    <xf numFmtId="0" fontId="51" fillId="17" borderId="30" xfId="0" applyFont="1" applyFill="1" applyBorder="1" applyAlignment="1">
      <alignment wrapText="1" readingOrder="1"/>
    </xf>
    <xf numFmtId="0" fontId="51" fillId="17" borderId="19" xfId="0" applyFont="1" applyFill="1" applyBorder="1" applyAlignment="1">
      <alignment wrapText="1" readingOrder="1"/>
    </xf>
    <xf numFmtId="44" fontId="0" fillId="0" borderId="1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vertical="center" wrapText="1" readingOrder="1"/>
    </xf>
    <xf numFmtId="0" fontId="54" fillId="0" borderId="19" xfId="0" applyFont="1" applyFill="1" applyBorder="1" applyAlignment="1">
      <alignment wrapText="1" readingOrder="1"/>
    </xf>
    <xf numFmtId="0" fontId="12" fillId="0" borderId="5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31" xfId="0" applyFont="1" applyFill="1" applyBorder="1" applyAlignment="1">
      <alignment horizontal="left" vertical="center" wrapText="1" indent="2" readingOrder="1"/>
    </xf>
    <xf numFmtId="0" fontId="12" fillId="0" borderId="21" xfId="0" applyFont="1" applyFill="1" applyBorder="1" applyAlignment="1">
      <alignment horizontal="center" vertical="center" wrapText="1" readingOrder="1"/>
    </xf>
    <xf numFmtId="0" fontId="51" fillId="17" borderId="6" xfId="0" applyFont="1" applyFill="1" applyBorder="1" applyAlignment="1">
      <alignment wrapText="1" readingOrder="1"/>
    </xf>
    <xf numFmtId="0" fontId="12" fillId="0" borderId="27" xfId="0" applyFont="1" applyFill="1" applyBorder="1" applyAlignment="1">
      <alignment vertical="center" wrapText="1" readingOrder="1"/>
    </xf>
    <xf numFmtId="0" fontId="12" fillId="0" borderId="10" xfId="0" applyFont="1" applyFill="1" applyBorder="1" applyAlignment="1">
      <alignment horizontal="left" vertical="center" indent="2" readingOrder="1"/>
    </xf>
    <xf numFmtId="0" fontId="12" fillId="0" borderId="5" xfId="0" applyFont="1" applyFill="1" applyBorder="1" applyAlignment="1">
      <alignment vertical="center" wrapText="1" readingOrder="1"/>
    </xf>
    <xf numFmtId="0" fontId="12" fillId="0" borderId="0" xfId="0" applyFont="1" applyFill="1" applyBorder="1" applyAlignment="1">
      <alignment horizontal="left" vertical="center" wrapText="1" indent="2" readingOrder="1"/>
    </xf>
    <xf numFmtId="0" fontId="12" fillId="0" borderId="0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vertical="center" wrapText="1" readingOrder="1"/>
    </xf>
    <xf numFmtId="0" fontId="52" fillId="0" borderId="20" xfId="0" applyFont="1" applyFill="1" applyBorder="1" applyAlignment="1">
      <alignment wrapText="1" readingOrder="1"/>
    </xf>
    <xf numFmtId="4" fontId="0" fillId="0" borderId="1" xfId="0" applyNumberFormat="1" applyFont="1" applyFill="1" applyBorder="1" applyAlignment="1">
      <alignment horizontal="left" vertical="center" wrapText="1" readingOrder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readingOrder="1"/>
    </xf>
    <xf numFmtId="4" fontId="14" fillId="0" borderId="29" xfId="0" applyNumberFormat="1" applyFont="1" applyFill="1" applyBorder="1" applyAlignment="1">
      <alignment horizontal="left" vertical="center" wrapText="1" indent="2"/>
    </xf>
    <xf numFmtId="0" fontId="12" fillId="0" borderId="33" xfId="0" applyFont="1" applyFill="1" applyBorder="1" applyAlignment="1">
      <alignment vertical="center" wrapText="1" readingOrder="1"/>
    </xf>
    <xf numFmtId="0" fontId="12" fillId="0" borderId="34" xfId="0" applyFont="1" applyFill="1" applyBorder="1" applyAlignment="1">
      <alignment vertical="center" wrapText="1" readingOrder="1"/>
    </xf>
    <xf numFmtId="0" fontId="12" fillId="0" borderId="4" xfId="0" applyFont="1" applyFill="1" applyBorder="1" applyAlignment="1">
      <alignment horizontal="left" wrapText="1" indent="2" readingOrder="1"/>
    </xf>
    <xf numFmtId="0" fontId="12" fillId="0" borderId="0" xfId="0" applyFont="1" applyFill="1" applyBorder="1" applyAlignment="1">
      <alignment horizontal="left" wrapText="1" indent="2" readingOrder="1"/>
    </xf>
    <xf numFmtId="0" fontId="14" fillId="0" borderId="7" xfId="0" applyFont="1" applyFill="1" applyBorder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12" fillId="0" borderId="36" xfId="0" applyFont="1" applyFill="1" applyBorder="1" applyAlignment="1">
      <alignment vertical="center" wrapText="1" readingOrder="1"/>
    </xf>
    <xf numFmtId="0" fontId="51" fillId="17" borderId="29" xfId="0" applyFont="1" applyFill="1" applyBorder="1" applyAlignment="1">
      <alignment wrapText="1" readingOrder="1"/>
    </xf>
    <xf numFmtId="0" fontId="12" fillId="0" borderId="6" xfId="0" applyFont="1" applyFill="1" applyBorder="1" applyAlignment="1">
      <alignment vertical="center" wrapText="1" readingOrder="1"/>
    </xf>
    <xf numFmtId="0" fontId="14" fillId="0" borderId="21" xfId="0" applyFont="1" applyFill="1" applyBorder="1" applyAlignment="1">
      <alignment horizontal="center" vertical="center"/>
    </xf>
    <xf numFmtId="0" fontId="49" fillId="0" borderId="29" xfId="0" applyFont="1" applyFill="1" applyBorder="1" applyAlignment="1">
      <alignment wrapText="1" readingOrder="1"/>
    </xf>
    <xf numFmtId="0" fontId="27" fillId="0" borderId="4" xfId="0" applyFont="1" applyFill="1" applyBorder="1" applyAlignment="1">
      <alignment wrapText="1" readingOrder="1"/>
    </xf>
    <xf numFmtId="0" fontId="3" fillId="0" borderId="1" xfId="0" applyFont="1" applyFill="1" applyBorder="1" applyAlignment="1">
      <alignment horizontal="center" wrapText="1" readingOrder="1"/>
    </xf>
    <xf numFmtId="44" fontId="55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6" fillId="0" borderId="12" xfId="0" applyFont="1" applyFill="1" applyBorder="1" applyAlignment="1">
      <alignment wrapText="1" readingOrder="1"/>
    </xf>
    <xf numFmtId="0" fontId="52" fillId="0" borderId="6" xfId="0" applyFont="1" applyFill="1" applyBorder="1" applyAlignment="1">
      <alignment wrapText="1" readingOrder="1"/>
    </xf>
    <xf numFmtId="4" fontId="0" fillId="0" borderId="26" xfId="0" applyNumberFormat="1" applyFill="1" applyBorder="1" applyAlignment="1">
      <alignment horizontal="left" vertical="center" readingOrder="1"/>
    </xf>
    <xf numFmtId="44" fontId="14" fillId="0" borderId="7" xfId="0" applyNumberFormat="1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left" vertical="center" indent="2"/>
    </xf>
    <xf numFmtId="0" fontId="12" fillId="0" borderId="29" xfId="0" applyFont="1" applyFill="1" applyBorder="1" applyAlignment="1">
      <alignment horizontal="left" wrapText="1" indent="2" readingOrder="1"/>
    </xf>
    <xf numFmtId="0" fontId="0" fillId="17" borderId="21" xfId="0" applyFill="1" applyBorder="1" applyAlignment="1">
      <alignment horizontal="center" vertical="center"/>
    </xf>
    <xf numFmtId="4" fontId="0" fillId="0" borderId="13" xfId="0" applyNumberFormat="1" applyFill="1" applyBorder="1" applyAlignment="1">
      <alignment vertical="center" wrapText="1" readingOrder="1"/>
    </xf>
    <xf numFmtId="4" fontId="0" fillId="0" borderId="7" xfId="0" applyNumberFormat="1" applyFill="1" applyBorder="1" applyAlignment="1">
      <alignment vertical="center" wrapText="1" readingOrder="1"/>
    </xf>
    <xf numFmtId="0" fontId="56" fillId="0" borderId="10" xfId="0" applyFont="1" applyFill="1" applyBorder="1" applyAlignment="1">
      <alignment wrapText="1" readingOrder="1"/>
    </xf>
    <xf numFmtId="44" fontId="14" fillId="0" borderId="1" xfId="0" applyNumberFormat="1" applyFont="1" applyFill="1" applyBorder="1" applyAlignment="1">
      <alignment horizontal="center" vertical="center"/>
    </xf>
    <xf numFmtId="4" fontId="0" fillId="0" borderId="21" xfId="0" applyNumberFormat="1" applyFill="1" applyBorder="1" applyAlignment="1">
      <alignment vertical="center" wrapText="1" readingOrder="1"/>
    </xf>
    <xf numFmtId="4" fontId="57" fillId="0" borderId="1" xfId="0" applyNumberFormat="1" applyFont="1" applyFill="1" applyBorder="1" applyAlignment="1">
      <alignment horizontal="left" vertical="center" readingOrder="1"/>
    </xf>
    <xf numFmtId="0" fontId="57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 readingOrder="1"/>
    </xf>
    <xf numFmtId="44" fontId="57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left" vertical="center" readingOrder="1"/>
    </xf>
    <xf numFmtId="0" fontId="0" fillId="0" borderId="1" xfId="0" applyBorder="1" applyAlignment="1">
      <alignment horizontal="center" vertical="center"/>
    </xf>
    <xf numFmtId="44" fontId="50" fillId="0" borderId="1" xfId="0" applyNumberFormat="1" applyFont="1" applyBorder="1" applyAlignment="1">
      <alignment horizontal="center" vertical="center"/>
    </xf>
    <xf numFmtId="44" fontId="14" fillId="0" borderId="21" xfId="0" applyNumberFormat="1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wrapText="1" readingOrder="1"/>
    </xf>
    <xf numFmtId="0" fontId="52" fillId="0" borderId="40" xfId="0" applyFont="1" applyFill="1" applyBorder="1" applyAlignment="1">
      <alignment wrapText="1" readingOrder="1"/>
    </xf>
    <xf numFmtId="44" fontId="14" fillId="0" borderId="1" xfId="0" applyNumberFormat="1" applyFont="1" applyFill="1" applyBorder="1" applyAlignment="1">
      <alignment vertical="center"/>
    </xf>
    <xf numFmtId="44" fontId="14" fillId="17" borderId="1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wrapText="1" readingOrder="1"/>
    </xf>
    <xf numFmtId="44" fontId="14" fillId="0" borderId="1" xfId="0" applyNumberFormat="1" applyFont="1" applyBorder="1" applyAlignment="1">
      <alignment vertical="center"/>
    </xf>
    <xf numFmtId="44" fontId="14" fillId="0" borderId="0" xfId="0" applyNumberFormat="1" applyFont="1" applyBorder="1" applyAlignment="1">
      <alignment horizontal="center" vertical="center"/>
    </xf>
    <xf numFmtId="44" fontId="50" fillId="0" borderId="21" xfId="0" applyNumberFormat="1" applyFon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" fontId="0" fillId="0" borderId="21" xfId="0" applyNumberFormat="1" applyBorder="1" applyAlignment="1">
      <alignment horizontal="left" vertical="center" readingOrder="1"/>
    </xf>
    <xf numFmtId="0" fontId="0" fillId="0" borderId="21" xfId="0" applyBorder="1" applyAlignment="1">
      <alignment horizontal="center" vertical="center"/>
    </xf>
    <xf numFmtId="44" fontId="30" fillId="6" borderId="2" xfId="0" applyNumberFormat="1" applyFont="1" applyFill="1" applyBorder="1" applyAlignment="1">
      <alignment horizontal="center" vertical="center" wrapText="1" readingOrder="1"/>
    </xf>
    <xf numFmtId="44" fontId="38" fillId="6" borderId="2" xfId="0" applyNumberFormat="1" applyFont="1" applyFill="1" applyBorder="1" applyAlignment="1">
      <alignment horizontal="center" vertical="center" wrapText="1" readingOrder="1"/>
    </xf>
    <xf numFmtId="0" fontId="30" fillId="6" borderId="2" xfId="0" applyFont="1" applyFill="1" applyBorder="1" applyAlignment="1">
      <alignment vertical="center" wrapText="1" readingOrder="1"/>
    </xf>
    <xf numFmtId="44" fontId="37" fillId="6" borderId="2" xfId="0" applyNumberFormat="1" applyFont="1" applyFill="1" applyBorder="1" applyAlignment="1">
      <alignment horizontal="center" vertical="center" wrapText="1" readingOrder="1"/>
    </xf>
    <xf numFmtId="44" fontId="32" fillId="6" borderId="2" xfId="0" applyNumberFormat="1" applyFont="1" applyFill="1" applyBorder="1" applyAlignment="1">
      <alignment horizontal="center" vertical="center" wrapText="1" readingOrder="1"/>
    </xf>
    <xf numFmtId="44" fontId="37" fillId="6" borderId="3" xfId="0" applyNumberFormat="1" applyFont="1" applyFill="1" applyBorder="1" applyAlignment="1">
      <alignment horizontal="center" vertical="center" wrapText="1" readingOrder="1"/>
    </xf>
    <xf numFmtId="0" fontId="38" fillId="6" borderId="2" xfId="0" applyFont="1" applyFill="1" applyBorder="1" applyAlignment="1">
      <alignment vertical="center" wrapText="1" readingOrder="1"/>
    </xf>
    <xf numFmtId="44" fontId="39" fillId="6" borderId="2" xfId="0" applyNumberFormat="1" applyFont="1" applyFill="1" applyBorder="1" applyAlignment="1">
      <alignment horizontal="center" vertical="center" wrapText="1" readingOrder="1"/>
    </xf>
    <xf numFmtId="0" fontId="27" fillId="6" borderId="2" xfId="0" applyFont="1" applyFill="1" applyBorder="1" applyAlignment="1">
      <alignment horizontal="left" wrapText="1" readingOrder="1"/>
    </xf>
    <xf numFmtId="0" fontId="2" fillId="6" borderId="2" xfId="0" applyFont="1" applyFill="1" applyBorder="1" applyAlignment="1">
      <alignment wrapText="1" readingOrder="1"/>
    </xf>
    <xf numFmtId="49" fontId="2" fillId="6" borderId="2" xfId="0" applyNumberFormat="1" applyFont="1" applyFill="1" applyBorder="1" applyAlignment="1">
      <alignment horizontal="left" wrapText="1" readingOrder="1"/>
    </xf>
    <xf numFmtId="0" fontId="2" fillId="6" borderId="2" xfId="0" applyFont="1" applyFill="1" applyBorder="1" applyAlignment="1">
      <alignment horizontal="right" wrapText="1" readingOrder="1"/>
    </xf>
    <xf numFmtId="4" fontId="2" fillId="6" borderId="2" xfId="0" applyNumberFormat="1" applyFont="1" applyFill="1" applyBorder="1" applyAlignment="1">
      <alignment horizontal="right" wrapText="1" readingOrder="1"/>
    </xf>
    <xf numFmtId="4" fontId="3" fillId="6" borderId="2" xfId="0" applyNumberFormat="1" applyFont="1" applyFill="1" applyBorder="1" applyAlignment="1">
      <alignment horizontal="right" wrapText="1" readingOrder="1"/>
    </xf>
    <xf numFmtId="4" fontId="4" fillId="6" borderId="2" xfId="0" applyNumberFormat="1" applyFont="1" applyFill="1" applyBorder="1" applyAlignment="1">
      <alignment horizontal="right" wrapText="1" readingOrder="1"/>
    </xf>
    <xf numFmtId="0" fontId="3" fillId="6" borderId="2" xfId="0" applyFont="1" applyFill="1" applyBorder="1" applyAlignment="1">
      <alignment wrapText="1" readingOrder="1"/>
    </xf>
    <xf numFmtId="49" fontId="3" fillId="6" borderId="2" xfId="0" applyNumberFormat="1" applyFont="1" applyFill="1" applyBorder="1" applyAlignment="1">
      <alignment horizontal="left" wrapText="1" readingOrder="1"/>
    </xf>
    <xf numFmtId="0" fontId="3" fillId="6" borderId="2" xfId="0" applyFont="1" applyFill="1" applyBorder="1" applyAlignment="1">
      <alignment horizontal="right" wrapText="1" readingOrder="1"/>
    </xf>
    <xf numFmtId="0" fontId="4" fillId="6" borderId="2" xfId="0" applyFont="1" applyFill="1" applyBorder="1" applyAlignment="1">
      <alignment wrapText="1" readingOrder="1"/>
    </xf>
    <xf numFmtId="49" fontId="4" fillId="6" borderId="2" xfId="0" applyNumberFormat="1" applyFont="1" applyFill="1" applyBorder="1" applyAlignment="1">
      <alignment horizontal="left" wrapText="1" readingOrder="1"/>
    </xf>
    <xf numFmtId="0" fontId="4" fillId="6" borderId="2" xfId="0" applyFont="1" applyFill="1" applyBorder="1" applyAlignment="1">
      <alignment horizontal="right" wrapText="1" readingOrder="1"/>
    </xf>
    <xf numFmtId="0" fontId="4" fillId="6" borderId="2" xfId="0" applyFont="1" applyFill="1" applyBorder="1" applyAlignment="1">
      <alignment readingOrder="1"/>
    </xf>
    <xf numFmtId="0" fontId="4" fillId="6" borderId="2" xfId="0" applyFont="1" applyFill="1" applyBorder="1" applyAlignment="1">
      <alignment horizontal="left" readingOrder="1"/>
    </xf>
    <xf numFmtId="49" fontId="4" fillId="6" borderId="2" xfId="0" applyNumberFormat="1" applyFont="1" applyFill="1" applyBorder="1" applyAlignment="1">
      <alignment horizontal="left" readingOrder="1"/>
    </xf>
    <xf numFmtId="0" fontId="4" fillId="6" borderId="2" xfId="0" applyFont="1" applyFill="1" applyBorder="1" applyAlignment="1">
      <alignment horizontal="right" readingOrder="1"/>
    </xf>
    <xf numFmtId="0" fontId="36" fillId="6" borderId="2" xfId="0" applyFont="1" applyFill="1" applyBorder="1" applyAlignment="1">
      <alignment horizontal="left" wrapText="1" readingOrder="1"/>
    </xf>
    <xf numFmtId="0" fontId="36" fillId="6" borderId="2" xfId="0" applyFont="1" applyFill="1" applyBorder="1" applyAlignment="1">
      <alignment wrapText="1" readingOrder="1"/>
    </xf>
    <xf numFmtId="49" fontId="36" fillId="6" borderId="2" xfId="0" applyNumberFormat="1" applyFont="1" applyFill="1" applyBorder="1" applyAlignment="1">
      <alignment horizontal="left" wrapText="1" readingOrder="1"/>
    </xf>
    <xf numFmtId="0" fontId="36" fillId="6" borderId="2" xfId="0" applyFont="1" applyFill="1" applyBorder="1" applyAlignment="1">
      <alignment horizontal="right" wrapText="1" readingOrder="1"/>
    </xf>
    <xf numFmtId="4" fontId="20" fillId="6" borderId="2" xfId="0" applyNumberFormat="1" applyFont="1" applyFill="1" applyBorder="1" applyAlignment="1">
      <alignment horizontal="right" wrapText="1" readingOrder="1"/>
    </xf>
    <xf numFmtId="4" fontId="36" fillId="6" borderId="2" xfId="0" applyNumberFormat="1" applyFont="1" applyFill="1" applyBorder="1" applyAlignment="1">
      <alignment horizontal="right" wrapText="1" readingOrder="1"/>
    </xf>
    <xf numFmtId="0" fontId="5" fillId="6" borderId="2" xfId="0" applyFont="1" applyFill="1" applyBorder="1" applyAlignment="1">
      <alignment horizontal="left" wrapText="1" readingOrder="1"/>
    </xf>
    <xf numFmtId="4" fontId="5" fillId="6" borderId="2" xfId="0" applyNumberFormat="1" applyFont="1" applyFill="1" applyBorder="1" applyAlignment="1">
      <alignment horizontal="right" wrapText="1" readingOrder="1"/>
    </xf>
    <xf numFmtId="0" fontId="4" fillId="6" borderId="2" xfId="0" applyFont="1" applyFill="1" applyBorder="1" applyAlignment="1">
      <alignment horizontal="left" vertical="top" wrapText="1" readingOrder="1"/>
    </xf>
    <xf numFmtId="0" fontId="4" fillId="6" borderId="2" xfId="0" applyFont="1" applyFill="1" applyBorder="1" applyAlignment="1">
      <alignment vertical="top" wrapText="1" readingOrder="1"/>
    </xf>
    <xf numFmtId="49" fontId="4" fillId="6" borderId="2" xfId="0" applyNumberFormat="1" applyFont="1" applyFill="1" applyBorder="1" applyAlignment="1">
      <alignment horizontal="right" vertical="top" wrapText="1" readingOrder="1"/>
    </xf>
    <xf numFmtId="0" fontId="4" fillId="6" borderId="2" xfId="0" applyFont="1" applyFill="1" applyBorder="1" applyAlignment="1">
      <alignment horizontal="right" vertical="top" wrapText="1" readingOrder="1"/>
    </xf>
    <xf numFmtId="4" fontId="2" fillId="6" borderId="2" xfId="0" applyNumberFormat="1" applyFont="1" applyFill="1" applyBorder="1" applyAlignment="1">
      <alignment vertical="top" wrapText="1" readingOrder="1"/>
    </xf>
    <xf numFmtId="4" fontId="4" fillId="6" borderId="2" xfId="0" applyNumberFormat="1" applyFont="1" applyFill="1" applyBorder="1" applyAlignment="1">
      <alignment vertical="top" wrapText="1" readingOrder="1"/>
    </xf>
    <xf numFmtId="4" fontId="2" fillId="6" borderId="2" xfId="0" applyNumberFormat="1" applyFont="1" applyFill="1" applyBorder="1" applyAlignment="1">
      <alignment horizontal="right" vertical="top" wrapText="1" readingOrder="1"/>
    </xf>
    <xf numFmtId="4" fontId="4" fillId="6" borderId="2" xfId="0" applyNumberFormat="1" applyFont="1" applyFill="1" applyBorder="1" applyAlignment="1">
      <alignment horizontal="right" vertical="top" wrapText="1" readingOrder="1"/>
    </xf>
    <xf numFmtId="0" fontId="4" fillId="6" borderId="2" xfId="0" applyFont="1" applyFill="1" applyBorder="1" applyAlignment="1">
      <alignment horizontal="right" vertical="center" wrapText="1" readingOrder="1"/>
    </xf>
    <xf numFmtId="4" fontId="2" fillId="6" borderId="2" xfId="0" applyNumberFormat="1" applyFont="1" applyFill="1" applyBorder="1" applyAlignment="1">
      <alignment horizontal="right" vertical="center" wrapText="1" readingOrder="1"/>
    </xf>
    <xf numFmtId="4" fontId="3" fillId="6" borderId="2" xfId="0" applyNumberFormat="1" applyFont="1" applyFill="1" applyBorder="1" applyAlignment="1">
      <alignment horizontal="right" vertical="center" wrapText="1" readingOrder="1"/>
    </xf>
    <xf numFmtId="49" fontId="4" fillId="6" borderId="2" xfId="0" applyNumberFormat="1" applyFont="1" applyFill="1" applyBorder="1" applyAlignment="1">
      <alignment horizontal="right" vertical="center" wrapText="1" readingOrder="1"/>
    </xf>
    <xf numFmtId="0" fontId="20" fillId="6" borderId="2" xfId="0" applyFont="1" applyFill="1" applyBorder="1" applyAlignment="1">
      <alignment vertical="top" wrapText="1" readingOrder="1"/>
    </xf>
    <xf numFmtId="0" fontId="36" fillId="6" borderId="2" xfId="0" applyFont="1" applyFill="1" applyBorder="1" applyAlignment="1">
      <alignment horizontal="right" vertical="top" wrapText="1" readingOrder="1"/>
    </xf>
    <xf numFmtId="0" fontId="20" fillId="6" borderId="2" xfId="0" applyFont="1" applyFill="1" applyBorder="1" applyAlignment="1">
      <alignment horizontal="right" vertical="top" wrapText="1" readingOrder="1"/>
    </xf>
    <xf numFmtId="0" fontId="59" fillId="6" borderId="2" xfId="0" applyFont="1" applyFill="1" applyBorder="1" applyAlignment="1">
      <alignment horizontal="right" vertical="top" wrapText="1" readingOrder="1"/>
    </xf>
    <xf numFmtId="4" fontId="27" fillId="6" borderId="2" xfId="0" applyNumberFormat="1" applyFont="1" applyFill="1" applyBorder="1" applyAlignment="1">
      <alignment horizontal="right" wrapText="1" readingOrder="1"/>
    </xf>
    <xf numFmtId="4" fontId="4" fillId="6" borderId="2" xfId="0" applyNumberFormat="1" applyFont="1" applyFill="1" applyBorder="1" applyAlignment="1">
      <alignment horizontal="right" vertical="center" wrapText="1" readingOrder="1"/>
    </xf>
    <xf numFmtId="0" fontId="3" fillId="6" borderId="2" xfId="0" applyFont="1" applyFill="1" applyBorder="1" applyAlignment="1">
      <alignment horizontal="right" vertical="center" wrapText="1" readingOrder="1"/>
    </xf>
    <xf numFmtId="49" fontId="3" fillId="6" borderId="2" xfId="0" applyNumberFormat="1" applyFont="1" applyFill="1" applyBorder="1" applyAlignment="1">
      <alignment horizontal="right" vertical="center" wrapText="1" readingOrder="1"/>
    </xf>
    <xf numFmtId="4" fontId="26" fillId="6" borderId="2" xfId="0" applyNumberFormat="1" applyFont="1" applyFill="1" applyBorder="1" applyAlignment="1">
      <alignment horizontal="right" vertical="center" wrapText="1" readingOrder="1"/>
    </xf>
    <xf numFmtId="3" fontId="4" fillId="6" borderId="2" xfId="0" applyNumberFormat="1" applyFont="1" applyFill="1" applyBorder="1" applyAlignment="1">
      <alignment horizontal="right" vertical="center" wrapText="1" readingOrder="1"/>
    </xf>
    <xf numFmtId="0" fontId="26" fillId="6" borderId="2" xfId="0" applyFont="1" applyFill="1" applyBorder="1" applyAlignment="1">
      <alignment wrapText="1" readingOrder="1"/>
    </xf>
    <xf numFmtId="0" fontId="26" fillId="6" borderId="2" xfId="0" applyFont="1" applyFill="1" applyBorder="1" applyAlignment="1">
      <alignment horizontal="right" vertical="center" wrapText="1" readingOrder="1"/>
    </xf>
    <xf numFmtId="49" fontId="26" fillId="6" borderId="2" xfId="0" applyNumberFormat="1" applyFont="1" applyFill="1" applyBorder="1" applyAlignment="1">
      <alignment horizontal="right" vertical="center" wrapText="1" readingOrder="1"/>
    </xf>
    <xf numFmtId="49" fontId="26" fillId="6" borderId="2" xfId="0" applyNumberFormat="1" applyFont="1" applyFill="1" applyBorder="1" applyAlignment="1">
      <alignment horizontal="left" wrapText="1" readingOrder="1"/>
    </xf>
    <xf numFmtId="0" fontId="26" fillId="6" borderId="2" xfId="0" applyFont="1" applyFill="1" applyBorder="1" applyAlignment="1">
      <alignment horizontal="right" wrapText="1" readingOrder="1"/>
    </xf>
    <xf numFmtId="4" fontId="26" fillId="6" borderId="2" xfId="0" applyNumberFormat="1" applyFont="1" applyFill="1" applyBorder="1" applyAlignment="1">
      <alignment horizontal="right" wrapText="1" readingOrder="1"/>
    </xf>
    <xf numFmtId="2" fontId="4" fillId="6" borderId="2" xfId="2" applyNumberFormat="1" applyFont="1" applyFill="1" applyBorder="1" applyAlignment="1">
      <alignment wrapText="1" readingOrder="1"/>
    </xf>
    <xf numFmtId="0" fontId="4" fillId="6" borderId="2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vertical="top" wrapText="1" readingOrder="1"/>
    </xf>
    <xf numFmtId="0" fontId="3" fillId="6" borderId="2" xfId="0" applyFont="1" applyFill="1" applyBorder="1" applyAlignment="1">
      <alignment horizontal="left" vertical="top" wrapText="1" readingOrder="1"/>
    </xf>
    <xf numFmtId="49" fontId="3" fillId="6" borderId="2" xfId="0" applyNumberFormat="1" applyFont="1" applyFill="1" applyBorder="1" applyAlignment="1">
      <alignment horizontal="left" vertical="top" wrapText="1" readingOrder="1"/>
    </xf>
    <xf numFmtId="0" fontId="3" fillId="6" borderId="2" xfId="0" applyFont="1" applyFill="1" applyBorder="1" applyAlignment="1">
      <alignment horizontal="right" vertical="top" wrapText="1" readingOrder="1"/>
    </xf>
    <xf numFmtId="0" fontId="60" fillId="6" borderId="2" xfId="0" applyFont="1" applyFill="1" applyBorder="1" applyAlignment="1">
      <alignment wrapText="1" readingOrder="1"/>
    </xf>
    <xf numFmtId="49" fontId="2" fillId="6" borderId="2" xfId="0" applyNumberFormat="1" applyFont="1" applyFill="1" applyBorder="1" applyAlignment="1">
      <alignment horizontal="left" vertical="top" wrapText="1" readingOrder="1"/>
    </xf>
    <xf numFmtId="0" fontId="2" fillId="6" borderId="2" xfId="0" applyFont="1" applyFill="1" applyBorder="1" applyAlignment="1">
      <alignment horizontal="right" vertical="top" wrapText="1" readingOrder="1"/>
    </xf>
    <xf numFmtId="0" fontId="36" fillId="6" borderId="2" xfId="0" applyFont="1" applyFill="1" applyBorder="1" applyAlignment="1">
      <alignment vertical="top" wrapText="1" readingOrder="1"/>
    </xf>
    <xf numFmtId="4" fontId="36" fillId="6" borderId="2" xfId="0" applyNumberFormat="1" applyFont="1" applyFill="1" applyBorder="1" applyAlignment="1">
      <alignment vertical="top" wrapText="1" readingOrder="1"/>
    </xf>
    <xf numFmtId="4" fontId="3" fillId="6" borderId="2" xfId="0" applyNumberFormat="1" applyFont="1" applyFill="1" applyBorder="1" applyAlignment="1">
      <alignment horizontal="right" vertical="top" wrapText="1" readingOrder="1"/>
    </xf>
    <xf numFmtId="43" fontId="36" fillId="6" borderId="2" xfId="2" applyFont="1" applyFill="1" applyBorder="1" applyAlignment="1">
      <alignment vertical="top" wrapText="1" readingOrder="1"/>
    </xf>
    <xf numFmtId="43" fontId="27" fillId="6" borderId="2" xfId="2" applyFont="1" applyFill="1" applyBorder="1" applyAlignment="1">
      <alignment vertical="top" wrapText="1" readingOrder="1"/>
    </xf>
    <xf numFmtId="2" fontId="36" fillId="6" borderId="2" xfId="2" applyNumberFormat="1" applyFont="1" applyFill="1" applyBorder="1" applyAlignment="1">
      <alignment vertical="top" wrapText="1" readingOrder="1"/>
    </xf>
    <xf numFmtId="2" fontId="36" fillId="6" borderId="2" xfId="0" applyNumberFormat="1" applyFont="1" applyFill="1" applyBorder="1" applyAlignment="1">
      <alignment vertical="top" wrapText="1" readingOrder="1"/>
    </xf>
    <xf numFmtId="4" fontId="36" fillId="6" borderId="2" xfId="0" applyNumberFormat="1" applyFont="1" applyFill="1" applyBorder="1" applyAlignment="1">
      <alignment wrapText="1" readingOrder="1"/>
    </xf>
    <xf numFmtId="4" fontId="3" fillId="6" borderId="2" xfId="0" applyNumberFormat="1" applyFont="1" applyFill="1" applyBorder="1" applyAlignment="1">
      <alignment wrapText="1" readingOrder="1"/>
    </xf>
    <xf numFmtId="2" fontId="4" fillId="6" borderId="2" xfId="0" applyNumberFormat="1" applyFont="1" applyFill="1" applyBorder="1" applyAlignment="1">
      <alignment horizontal="right" wrapText="1" readingOrder="1"/>
    </xf>
    <xf numFmtId="2" fontId="2" fillId="6" borderId="2" xfId="0" applyNumberFormat="1" applyFont="1" applyFill="1" applyBorder="1" applyAlignment="1">
      <alignment horizontal="right" wrapText="1" readingOrder="1"/>
    </xf>
    <xf numFmtId="4" fontId="3" fillId="6" borderId="2" xfId="0" applyNumberFormat="1" applyFont="1" applyFill="1" applyBorder="1" applyAlignment="1">
      <alignment vertical="top" wrapText="1" readingOrder="1"/>
    </xf>
    <xf numFmtId="0" fontId="35" fillId="6" borderId="2" xfId="0" applyFont="1" applyFill="1" applyBorder="1" applyAlignment="1">
      <alignment horizontal="left" wrapText="1" readingOrder="1"/>
    </xf>
    <xf numFmtId="4" fontId="12" fillId="6" borderId="2" xfId="0" applyNumberFormat="1" applyFont="1" applyFill="1" applyBorder="1" applyAlignment="1">
      <alignment horizontal="right" vertical="top" wrapText="1" readingOrder="1"/>
    </xf>
    <xf numFmtId="0" fontId="0" fillId="6" borderId="0" xfId="0" applyFill="1"/>
    <xf numFmtId="0" fontId="0" fillId="6" borderId="0" xfId="0" applyFill="1" applyAlignment="1">
      <alignment horizontal="right"/>
    </xf>
    <xf numFmtId="4" fontId="0" fillId="6" borderId="0" xfId="0" applyNumberFormat="1" applyFill="1" applyAlignment="1">
      <alignment horizontal="right"/>
    </xf>
    <xf numFmtId="0" fontId="27" fillId="6" borderId="0" xfId="0" applyFont="1" applyFill="1" applyBorder="1" applyAlignment="1">
      <alignment horizontal="left" wrapText="1" readingOrder="1"/>
    </xf>
    <xf numFmtId="0" fontId="0" fillId="6" borderId="1" xfId="0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43" fontId="0" fillId="6" borderId="1" xfId="2" applyFont="1" applyFill="1" applyBorder="1" applyAlignment="1">
      <alignment vertical="top"/>
    </xf>
    <xf numFmtId="2" fontId="0" fillId="6" borderId="1" xfId="0" applyNumberFormat="1" applyFill="1" applyBorder="1" applyAlignment="1">
      <alignment vertical="top"/>
    </xf>
    <xf numFmtId="0" fontId="10" fillId="19" borderId="0" xfId="0" applyFont="1" applyFill="1" applyAlignment="1">
      <alignment horizontal="left" readingOrder="1"/>
    </xf>
    <xf numFmtId="0" fontId="13" fillId="19" borderId="0" xfId="0" applyFont="1" applyFill="1"/>
    <xf numFmtId="0" fontId="13" fillId="19" borderId="0" xfId="0" applyFont="1" applyFill="1" applyAlignment="1">
      <alignment vertical="center" readingOrder="1"/>
    </xf>
    <xf numFmtId="0" fontId="13" fillId="19" borderId="0" xfId="0" applyFont="1" applyFill="1" applyAlignment="1">
      <alignment horizontal="center"/>
    </xf>
    <xf numFmtId="4" fontId="6" fillId="19" borderId="0" xfId="0" applyNumberFormat="1" applyFont="1" applyFill="1" applyAlignment="1">
      <alignment horizontal="right"/>
    </xf>
    <xf numFmtId="0" fontId="0" fillId="19" borderId="0" xfId="0" applyFill="1"/>
    <xf numFmtId="0" fontId="17" fillId="19" borderId="0" xfId="1" applyFont="1" applyFill="1" applyBorder="1" applyAlignment="1">
      <alignment horizontal="center" vertical="center"/>
    </xf>
    <xf numFmtId="0" fontId="18" fillId="11" borderId="41" xfId="0" quotePrefix="1" applyFont="1" applyFill="1" applyBorder="1" applyAlignment="1">
      <alignment horizontal="center" vertical="center" wrapText="1" readingOrder="1"/>
    </xf>
    <xf numFmtId="0" fontId="15" fillId="0" borderId="0" xfId="1" applyBorder="1" applyAlignment="1">
      <alignment horizontal="center"/>
    </xf>
    <xf numFmtId="0" fontId="15" fillId="0" borderId="0" xfId="1" applyBorder="1" applyAlignment="1">
      <alignment horizontal="center" vertical="center"/>
    </xf>
    <xf numFmtId="4" fontId="8" fillId="10" borderId="1" xfId="0" applyNumberFormat="1" applyFont="1" applyFill="1" applyBorder="1" applyAlignment="1">
      <alignment horizontal="left" vertical="center" wrapText="1" readingOrder="1"/>
    </xf>
    <xf numFmtId="0" fontId="8" fillId="19" borderId="0" xfId="0" applyFont="1" applyFill="1" applyAlignment="1">
      <alignment horizontal="left" readingOrder="1"/>
    </xf>
    <xf numFmtId="0" fontId="0" fillId="19" borderId="0" xfId="0" applyFont="1" applyFill="1"/>
    <xf numFmtId="0" fontId="0" fillId="19" borderId="0" xfId="0" applyFont="1" applyFill="1" applyAlignment="1">
      <alignment vertical="center" readingOrder="1"/>
    </xf>
    <xf numFmtId="0" fontId="0" fillId="19" borderId="0" xfId="0" applyFont="1" applyFill="1" applyAlignment="1">
      <alignment horizontal="center"/>
    </xf>
    <xf numFmtId="4" fontId="0" fillId="19" borderId="0" xfId="0" applyNumberFormat="1" applyFill="1" applyAlignment="1">
      <alignment horizontal="right"/>
    </xf>
    <xf numFmtId="0" fontId="17" fillId="19" borderId="0" xfId="1" applyFont="1" applyFill="1" applyBorder="1"/>
    <xf numFmtId="0" fontId="66" fillId="20" borderId="0" xfId="0" applyFont="1" applyFill="1" applyAlignment="1">
      <alignment horizontal="center" vertical="center" wrapText="1"/>
    </xf>
    <xf numFmtId="0" fontId="68" fillId="20" borderId="45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left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horizontal="left" vertical="center" wrapText="1"/>
    </xf>
    <xf numFmtId="0" fontId="66" fillId="0" borderId="0" xfId="0" applyFont="1" applyBorder="1" applyAlignment="1">
      <alignment horizontal="center" vertical="center" wrapText="1"/>
    </xf>
    <xf numFmtId="167" fontId="62" fillId="0" borderId="0" xfId="0" applyNumberFormat="1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 wrapText="1"/>
    </xf>
    <xf numFmtId="166" fontId="66" fillId="0" borderId="0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167" fontId="66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left" readingOrder="1"/>
    </xf>
    <xf numFmtId="0" fontId="0" fillId="2" borderId="0" xfId="0" applyFont="1" applyFill="1"/>
    <xf numFmtId="0" fontId="0" fillId="2" borderId="0" xfId="0" applyFont="1" applyFill="1" applyAlignment="1">
      <alignment vertical="center" readingOrder="1"/>
    </xf>
    <xf numFmtId="0" fontId="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right"/>
    </xf>
    <xf numFmtId="0" fontId="17" fillId="2" borderId="0" xfId="1" applyFont="1" applyFill="1" applyBorder="1"/>
    <xf numFmtId="0" fontId="18" fillId="9" borderId="1" xfId="0" quotePrefix="1" applyFont="1" applyFill="1" applyBorder="1" applyAlignment="1">
      <alignment horizontal="center" vertical="center" wrapText="1" readingOrder="1"/>
    </xf>
    <xf numFmtId="0" fontId="61" fillId="21" borderId="3" xfId="0" applyFont="1" applyFill="1" applyBorder="1" applyAlignment="1">
      <alignment horizontal="left" vertical="center"/>
    </xf>
    <xf numFmtId="0" fontId="61" fillId="21" borderId="6" xfId="0" applyFont="1" applyFill="1" applyBorder="1" applyAlignment="1">
      <alignment horizontal="center" vertical="center"/>
    </xf>
    <xf numFmtId="0" fontId="62" fillId="21" borderId="6" xfId="0" applyFont="1" applyFill="1" applyBorder="1" applyAlignment="1">
      <alignment horizontal="left" vertical="center" wrapText="1"/>
    </xf>
    <xf numFmtId="0" fontId="62" fillId="21" borderId="6" xfId="0" applyFont="1" applyFill="1" applyBorder="1" applyAlignment="1">
      <alignment horizontal="center" vertical="center" wrapText="1"/>
    </xf>
    <xf numFmtId="0" fontId="62" fillId="21" borderId="6" xfId="0" applyFont="1" applyFill="1" applyBorder="1" applyAlignment="1">
      <alignment horizontal="center" vertical="center"/>
    </xf>
    <xf numFmtId="0" fontId="62" fillId="21" borderId="35" xfId="0" applyFont="1" applyFill="1" applyBorder="1" applyAlignment="1">
      <alignment horizontal="center" vertical="center"/>
    </xf>
    <xf numFmtId="0" fontId="62" fillId="11" borderId="1" xfId="0" applyFont="1" applyFill="1" applyBorder="1" applyAlignment="1">
      <alignment horizontal="center" vertical="center"/>
    </xf>
    <xf numFmtId="0" fontId="62" fillId="11" borderId="0" xfId="0" applyFont="1" applyFill="1" applyAlignment="1">
      <alignment horizontal="center" vertical="center" wrapText="1"/>
    </xf>
    <xf numFmtId="166" fontId="61" fillId="23" borderId="44" xfId="0" applyNumberFormat="1" applyFont="1" applyFill="1" applyBorder="1" applyAlignment="1">
      <alignment horizontal="center" vertical="center"/>
    </xf>
    <xf numFmtId="166" fontId="61" fillId="22" borderId="44" xfId="0" applyNumberFormat="1" applyFont="1" applyFill="1" applyBorder="1" applyAlignment="1">
      <alignment horizontal="center" vertical="center"/>
    </xf>
    <xf numFmtId="0" fontId="61" fillId="22" borderId="44" xfId="0" applyFont="1" applyFill="1" applyBorder="1" applyAlignment="1">
      <alignment horizontal="center" vertical="center"/>
    </xf>
    <xf numFmtId="167" fontId="62" fillId="6" borderId="44" xfId="0" applyNumberFormat="1" applyFont="1" applyFill="1" applyBorder="1" applyAlignment="1">
      <alignment horizontal="center" vertical="center"/>
    </xf>
    <xf numFmtId="167" fontId="61" fillId="22" borderId="44" xfId="0" applyNumberFormat="1" applyFont="1" applyFill="1" applyBorder="1" applyAlignment="1">
      <alignment horizontal="center" vertical="center"/>
    </xf>
    <xf numFmtId="166" fontId="61" fillId="23" borderId="6" xfId="0" applyNumberFormat="1" applyFont="1" applyFill="1" applyBorder="1" applyAlignment="1">
      <alignment horizontal="center" vertical="center"/>
    </xf>
    <xf numFmtId="166" fontId="61" fillId="22" borderId="6" xfId="0" applyNumberFormat="1" applyFont="1" applyFill="1" applyBorder="1" applyAlignment="1">
      <alignment horizontal="center" vertical="center"/>
    </xf>
    <xf numFmtId="167" fontId="62" fillId="6" borderId="6" xfId="0" applyNumberFormat="1" applyFont="1" applyFill="1" applyBorder="1" applyAlignment="1">
      <alignment horizontal="center" vertical="center"/>
    </xf>
    <xf numFmtId="0" fontId="66" fillId="22" borderId="44" xfId="0" applyFont="1" applyFill="1" applyBorder="1" applyAlignment="1">
      <alignment horizontal="center" vertical="center"/>
    </xf>
    <xf numFmtId="167" fontId="61" fillId="22" borderId="6" xfId="0" applyNumberFormat="1" applyFont="1" applyFill="1" applyBorder="1" applyAlignment="1">
      <alignment horizontal="center" vertical="center"/>
    </xf>
    <xf numFmtId="167" fontId="62" fillId="22" borderId="6" xfId="0" applyNumberFormat="1" applyFont="1" applyFill="1" applyBorder="1" applyAlignment="1">
      <alignment horizontal="center" vertical="center"/>
    </xf>
    <xf numFmtId="0" fontId="63" fillId="22" borderId="3" xfId="0" applyFont="1" applyFill="1" applyBorder="1" applyAlignment="1">
      <alignment horizontal="left" vertical="center"/>
    </xf>
    <xf numFmtId="0" fontId="63" fillId="22" borderId="6" xfId="0" applyFont="1" applyFill="1" applyBorder="1" applyAlignment="1">
      <alignment horizontal="center" vertical="center"/>
    </xf>
    <xf numFmtId="0" fontId="64" fillId="22" borderId="6" xfId="0" applyFont="1" applyFill="1" applyBorder="1" applyAlignment="1">
      <alignment horizontal="left" vertical="center" wrapText="1"/>
    </xf>
    <xf numFmtId="0" fontId="64" fillId="22" borderId="6" xfId="0" applyFont="1" applyFill="1" applyBorder="1" applyAlignment="1">
      <alignment horizontal="center" vertical="center" wrapText="1"/>
    </xf>
    <xf numFmtId="168" fontId="61" fillId="23" borderId="6" xfId="0" applyNumberFormat="1" applyFont="1" applyFill="1" applyBorder="1" applyAlignment="1">
      <alignment horizontal="center" vertical="center"/>
    </xf>
    <xf numFmtId="167" fontId="61" fillId="6" borderId="0" xfId="0" applyNumberFormat="1" applyFont="1" applyFill="1" applyAlignment="1">
      <alignment horizontal="center" vertical="center" wrapText="1"/>
    </xf>
    <xf numFmtId="167" fontId="61" fillId="22" borderId="0" xfId="0" applyNumberFormat="1" applyFont="1" applyFill="1" applyAlignment="1">
      <alignment horizontal="center" vertical="center" wrapText="1"/>
    </xf>
    <xf numFmtId="0" fontId="66" fillId="6" borderId="44" xfId="0" applyFont="1" applyFill="1" applyBorder="1" applyAlignment="1">
      <alignment horizontal="center" vertical="center"/>
    </xf>
    <xf numFmtId="166" fontId="66" fillId="6" borderId="44" xfId="0" applyNumberFormat="1" applyFont="1" applyFill="1" applyBorder="1" applyAlignment="1">
      <alignment horizontal="center" vertical="center"/>
    </xf>
    <xf numFmtId="0" fontId="66" fillId="6" borderId="6" xfId="0" applyFont="1" applyFill="1" applyBorder="1" applyAlignment="1">
      <alignment horizontal="center" vertical="center"/>
    </xf>
    <xf numFmtId="166" fontId="66" fillId="6" borderId="6" xfId="0" applyNumberFormat="1" applyFont="1" applyFill="1" applyBorder="1" applyAlignment="1">
      <alignment horizontal="center" vertical="center"/>
    </xf>
    <xf numFmtId="0" fontId="61" fillId="22" borderId="6" xfId="0" applyFont="1" applyFill="1" applyBorder="1" applyAlignment="1">
      <alignment horizontal="center" vertical="center"/>
    </xf>
    <xf numFmtId="0" fontId="66" fillId="22" borderId="6" xfId="0" applyFont="1" applyFill="1" applyBorder="1" applyAlignment="1">
      <alignment horizontal="center" vertical="center"/>
    </xf>
    <xf numFmtId="0" fontId="61" fillId="23" borderId="6" xfId="0" applyFont="1" applyFill="1" applyBorder="1" applyAlignment="1">
      <alignment horizontal="center" vertical="center"/>
    </xf>
    <xf numFmtId="0" fontId="67" fillId="22" borderId="6" xfId="0" applyFont="1" applyFill="1" applyBorder="1" applyAlignment="1">
      <alignment horizontal="center" vertical="center"/>
    </xf>
    <xf numFmtId="167" fontId="67" fillId="22" borderId="6" xfId="0" applyNumberFormat="1" applyFont="1" applyFill="1" applyBorder="1" applyAlignment="1">
      <alignment horizontal="center" vertical="center"/>
    </xf>
    <xf numFmtId="14" fontId="61" fillId="23" borderId="6" xfId="0" applyNumberFormat="1" applyFont="1" applyFill="1" applyBorder="1" applyAlignment="1">
      <alignment horizontal="center" vertical="center"/>
    </xf>
    <xf numFmtId="166" fontId="62" fillId="22" borderId="6" xfId="0" applyNumberFormat="1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horizontal="left" vertical="center"/>
    </xf>
    <xf numFmtId="0" fontId="66" fillId="22" borderId="0" xfId="0" applyFont="1" applyFill="1" applyBorder="1" applyAlignment="1">
      <alignment horizontal="center" vertical="center"/>
    </xf>
    <xf numFmtId="0" fontId="66" fillId="22" borderId="0" xfId="0" applyFont="1" applyFill="1" applyBorder="1" applyAlignment="1">
      <alignment horizontal="left" vertical="center" wrapText="1"/>
    </xf>
    <xf numFmtId="0" fontId="66" fillId="22" borderId="0" xfId="0" applyFont="1" applyFill="1" applyBorder="1" applyAlignment="1">
      <alignment horizontal="center" vertical="center" wrapText="1"/>
    </xf>
    <xf numFmtId="0" fontId="66" fillId="22" borderId="0" xfId="0" applyFont="1" applyFill="1" applyAlignment="1">
      <alignment horizontal="center" vertical="center" wrapText="1"/>
    </xf>
    <xf numFmtId="0" fontId="63" fillId="22" borderId="1" xfId="0" applyFont="1" applyFill="1" applyBorder="1" applyAlignment="1">
      <alignment horizontal="left" vertical="center"/>
    </xf>
    <xf numFmtId="0" fontId="63" fillId="22" borderId="1" xfId="0" applyFont="1" applyFill="1" applyBorder="1" applyAlignment="1">
      <alignment horizontal="center" vertical="center"/>
    </xf>
    <xf numFmtId="0" fontId="64" fillId="22" borderId="1" xfId="0" applyFont="1" applyFill="1" applyBorder="1" applyAlignment="1">
      <alignment horizontal="left" vertical="center" wrapText="1"/>
    </xf>
    <xf numFmtId="0" fontId="64" fillId="22" borderId="1" xfId="0" applyFont="1" applyFill="1" applyBorder="1" applyAlignment="1">
      <alignment horizontal="center" vertical="center" wrapText="1"/>
    </xf>
    <xf numFmtId="0" fontId="61" fillId="23" borderId="1" xfId="0" applyFont="1" applyFill="1" applyBorder="1" applyAlignment="1">
      <alignment horizontal="center" vertical="center"/>
    </xf>
    <xf numFmtId="167" fontId="61" fillId="22" borderId="1" xfId="0" applyNumberFormat="1" applyFont="1" applyFill="1" applyBorder="1" applyAlignment="1">
      <alignment horizontal="center" vertical="center"/>
    </xf>
    <xf numFmtId="167" fontId="61" fillId="6" borderId="1" xfId="0" applyNumberFormat="1" applyFont="1" applyFill="1" applyBorder="1" applyAlignment="1">
      <alignment horizontal="center" vertical="center"/>
    </xf>
    <xf numFmtId="0" fontId="63" fillId="22" borderId="1" xfId="0" applyFont="1" applyFill="1" applyBorder="1" applyAlignment="1">
      <alignment horizontal="center" vertical="center" wrapText="1"/>
    </xf>
    <xf numFmtId="166" fontId="61" fillId="22" borderId="1" xfId="0" applyNumberFormat="1" applyFont="1" applyFill="1" applyBorder="1" applyAlignment="1">
      <alignment horizontal="center" vertical="center"/>
    </xf>
    <xf numFmtId="166" fontId="69" fillId="22" borderId="1" xfId="0" applyNumberFormat="1" applyFont="1" applyFill="1" applyBorder="1" applyAlignment="1">
      <alignment horizontal="center" vertical="center"/>
    </xf>
    <xf numFmtId="0" fontId="61" fillId="22" borderId="1" xfId="0" applyFont="1" applyFill="1" applyBorder="1" applyAlignment="1">
      <alignment horizontal="center" vertical="center"/>
    </xf>
    <xf numFmtId="0" fontId="70" fillId="22" borderId="1" xfId="0" applyFont="1" applyFill="1" applyBorder="1" applyAlignment="1">
      <alignment horizontal="left" vertical="center" wrapText="1"/>
    </xf>
    <xf numFmtId="0" fontId="66" fillId="22" borderId="0" xfId="0" applyFont="1" applyFill="1" applyAlignment="1">
      <alignment horizontal="left" vertical="center"/>
    </xf>
    <xf numFmtId="0" fontId="66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horizontal="left" vertical="center" wrapText="1"/>
    </xf>
    <xf numFmtId="0" fontId="66" fillId="23" borderId="0" xfId="0" applyFont="1" applyFill="1" applyAlignment="1">
      <alignment horizontal="center" vertical="center"/>
    </xf>
    <xf numFmtId="167" fontId="61" fillId="22" borderId="0" xfId="0" applyNumberFormat="1" applyFont="1" applyFill="1" applyAlignment="1">
      <alignment horizontal="center" vertical="center"/>
    </xf>
    <xf numFmtId="167" fontId="62" fillId="22" borderId="0" xfId="0" applyNumberFormat="1" applyFont="1" applyFill="1" applyAlignment="1">
      <alignment horizontal="center" vertical="center"/>
    </xf>
    <xf numFmtId="0" fontId="74" fillId="6" borderId="1" xfId="0" applyFont="1" applyFill="1" applyBorder="1" applyAlignment="1">
      <alignment horizontal="center" vertical="center" wrapText="1"/>
    </xf>
    <xf numFmtId="0" fontId="75" fillId="6" borderId="1" xfId="0" applyFont="1" applyFill="1" applyBorder="1" applyAlignment="1">
      <alignment horizontal="center" vertical="center" wrapText="1"/>
    </xf>
    <xf numFmtId="8" fontId="74" fillId="6" borderId="1" xfId="0" applyNumberFormat="1" applyFont="1" applyFill="1" applyBorder="1" applyAlignment="1">
      <alignment horizontal="center" vertical="center" wrapText="1"/>
    </xf>
    <xf numFmtId="0" fontId="73" fillId="6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readingOrder="1"/>
    </xf>
    <xf numFmtId="8" fontId="75" fillId="2" borderId="0" xfId="0" applyNumberFormat="1" applyFont="1" applyFill="1" applyBorder="1" applyAlignment="1">
      <alignment vertical="center"/>
    </xf>
    <xf numFmtId="0" fontId="71" fillId="6" borderId="1" xfId="0" applyFont="1" applyFill="1" applyBorder="1" applyAlignment="1">
      <alignment horizontal="center" vertical="center" wrapText="1"/>
    </xf>
    <xf numFmtId="0" fontId="72" fillId="6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left" wrapText="1" readingOrder="1"/>
    </xf>
    <xf numFmtId="0" fontId="9" fillId="5" borderId="6" xfId="0" applyFont="1" applyFill="1" applyBorder="1" applyAlignment="1">
      <alignment horizontal="left" wrapText="1" readingOrder="1"/>
    </xf>
    <xf numFmtId="0" fontId="12" fillId="5" borderId="3" xfId="0" applyFont="1" applyFill="1" applyBorder="1" applyAlignment="1">
      <alignment horizontal="left" wrapText="1" readingOrder="1"/>
    </xf>
    <xf numFmtId="2" fontId="12" fillId="5" borderId="3" xfId="0" applyNumberFormat="1" applyFont="1" applyFill="1" applyBorder="1" applyAlignment="1">
      <alignment horizontal="left" vertical="center" wrapText="1" readingOrder="1"/>
    </xf>
    <xf numFmtId="2" fontId="12" fillId="5" borderId="3" xfId="0" applyNumberFormat="1" applyFont="1" applyFill="1" applyBorder="1" applyAlignment="1">
      <alignment horizontal="center" vertical="center" wrapText="1" readingOrder="1"/>
    </xf>
    <xf numFmtId="2" fontId="11" fillId="5" borderId="3" xfId="0" applyNumberFormat="1" applyFont="1" applyFill="1" applyBorder="1" applyAlignment="1">
      <alignment horizontal="center" vertical="center" wrapText="1" readingOrder="1"/>
    </xf>
    <xf numFmtId="2" fontId="2" fillId="5" borderId="3" xfId="0" applyNumberFormat="1" applyFont="1" applyFill="1" applyBorder="1" applyAlignment="1">
      <alignment horizontal="right" vertical="center" wrapText="1" readingOrder="1"/>
    </xf>
    <xf numFmtId="0" fontId="7" fillId="5" borderId="1" xfId="0" applyFont="1" applyFill="1" applyBorder="1" applyAlignment="1">
      <alignment horizontal="left" wrapText="1" readingOrder="1"/>
    </xf>
    <xf numFmtId="0" fontId="11" fillId="5" borderId="2" xfId="0" applyFont="1" applyFill="1" applyBorder="1" applyAlignment="1">
      <alignment horizontal="left" wrapText="1" readingOrder="1"/>
    </xf>
    <xf numFmtId="2" fontId="11" fillId="5" borderId="2" xfId="0" applyNumberFormat="1" applyFont="1" applyFill="1" applyBorder="1" applyAlignment="1">
      <alignment horizontal="left" vertical="center" wrapText="1" readingOrder="1"/>
    </xf>
    <xf numFmtId="2" fontId="7" fillId="5" borderId="2" xfId="0" applyNumberFormat="1" applyFont="1" applyFill="1" applyBorder="1" applyAlignment="1">
      <alignment horizontal="center" vertical="center" wrapText="1" readingOrder="1"/>
    </xf>
    <xf numFmtId="2" fontId="3" fillId="5" borderId="2" xfId="0" applyNumberFormat="1" applyFont="1" applyFill="1" applyBorder="1" applyAlignment="1">
      <alignment horizontal="right" vertical="center" wrapText="1" readingOrder="1"/>
    </xf>
    <xf numFmtId="0" fontId="0" fillId="6" borderId="0" xfId="0" applyFont="1" applyFill="1" applyAlignment="1">
      <alignment wrapText="1"/>
    </xf>
    <xf numFmtId="0" fontId="9" fillId="5" borderId="5" xfId="0" applyFont="1" applyFill="1" applyBorder="1" applyAlignment="1">
      <alignment horizontal="left" wrapText="1" readingOrder="1"/>
    </xf>
    <xf numFmtId="0" fontId="14" fillId="5" borderId="2" xfId="0" applyFont="1" applyFill="1" applyBorder="1" applyAlignment="1">
      <alignment horizontal="left" wrapText="1" readingOrder="1"/>
    </xf>
    <xf numFmtId="0" fontId="8" fillId="5" borderId="5" xfId="0" applyFont="1" applyFill="1" applyBorder="1" applyAlignment="1">
      <alignment horizontal="left" vertical="top" wrapText="1" readingOrder="1"/>
    </xf>
    <xf numFmtId="0" fontId="3" fillId="5" borderId="1" xfId="0" applyFont="1" applyFill="1" applyBorder="1" applyAlignment="1">
      <alignment horizontal="left" wrapText="1" readingOrder="1"/>
    </xf>
    <xf numFmtId="0" fontId="0" fillId="5" borderId="2" xfId="0" applyFont="1" applyFill="1" applyBorder="1" applyAlignment="1">
      <alignment horizontal="left" wrapText="1" readingOrder="1"/>
    </xf>
    <xf numFmtId="0" fontId="11" fillId="5" borderId="1" xfId="0" applyFont="1" applyFill="1" applyBorder="1" applyAlignment="1">
      <alignment horizontal="left" vertical="center" wrapText="1" readingOrder="1"/>
    </xf>
    <xf numFmtId="0" fontId="8" fillId="6" borderId="0" xfId="0" applyFont="1" applyFill="1" applyAlignment="1">
      <alignment horizontal="left" vertical="center" wrapText="1" readingOrder="1"/>
    </xf>
    <xf numFmtId="0" fontId="8" fillId="6" borderId="0" xfId="0" applyFont="1" applyFill="1" applyAlignment="1">
      <alignment wrapText="1"/>
    </xf>
    <xf numFmtId="0" fontId="8" fillId="6" borderId="0" xfId="0" applyFont="1" applyFill="1" applyAlignment="1">
      <alignment horizontal="left" wrapText="1" readingOrder="1"/>
    </xf>
    <xf numFmtId="0" fontId="41" fillId="6" borderId="0" xfId="0" applyFont="1" applyFill="1"/>
    <xf numFmtId="0" fontId="42" fillId="6" borderId="1" xfId="0" applyFont="1" applyFill="1" applyBorder="1" applyAlignment="1">
      <alignment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3" fillId="6" borderId="0" xfId="0" applyFont="1" applyFill="1" applyAlignment="1">
      <alignment horizontal="left" vertical="center" wrapText="1"/>
    </xf>
    <xf numFmtId="2" fontId="9" fillId="6" borderId="0" xfId="0" applyNumberFormat="1" applyFont="1" applyFill="1" applyAlignment="1">
      <alignment vertical="center"/>
    </xf>
    <xf numFmtId="0" fontId="44" fillId="6" borderId="0" xfId="0" applyFont="1" applyFill="1" applyAlignment="1">
      <alignment wrapText="1"/>
    </xf>
    <xf numFmtId="0" fontId="0" fillId="6" borderId="0" xfId="0" applyFont="1" applyFill="1" applyAlignment="1">
      <alignment horizontal="left" vertical="center" wrapText="1"/>
    </xf>
    <xf numFmtId="0" fontId="0" fillId="5" borderId="5" xfId="0" applyFont="1" applyFill="1" applyBorder="1" applyAlignment="1">
      <alignment horizontal="left" wrapText="1" readingOrder="1"/>
    </xf>
    <xf numFmtId="2" fontId="14" fillId="5" borderId="2" xfId="0" applyNumberFormat="1" applyFont="1" applyFill="1" applyBorder="1" applyAlignment="1">
      <alignment horizontal="left" vertical="center" wrapText="1" readingOrder="1"/>
    </xf>
    <xf numFmtId="0" fontId="8" fillId="5" borderId="5" xfId="0" applyFont="1" applyFill="1" applyBorder="1" applyAlignment="1">
      <alignment horizontal="left" vertical="center" wrapText="1" readingOrder="1"/>
    </xf>
    <xf numFmtId="2" fontId="45" fillId="6" borderId="0" xfId="0" applyNumberFormat="1" applyFont="1" applyFill="1"/>
    <xf numFmtId="0" fontId="0" fillId="6" borderId="0" xfId="0" applyFont="1" applyFill="1" applyAlignment="1">
      <alignment vertical="center" wrapText="1"/>
    </xf>
    <xf numFmtId="0" fontId="8" fillId="5" borderId="4" xfId="0" applyFont="1" applyFill="1" applyBorder="1" applyAlignment="1">
      <alignment horizontal="left" wrapText="1" readingOrder="1"/>
    </xf>
    <xf numFmtId="0" fontId="46" fillId="6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left" wrapText="1" readingOrder="1"/>
    </xf>
    <xf numFmtId="2" fontId="0" fillId="5" borderId="2" xfId="0" applyNumberFormat="1" applyFont="1" applyFill="1" applyBorder="1" applyAlignment="1">
      <alignment horizontal="left" vertical="center" wrapText="1" readingOrder="1"/>
    </xf>
    <xf numFmtId="2" fontId="0" fillId="5" borderId="2" xfId="0" applyNumberFormat="1" applyFont="1" applyFill="1" applyBorder="1" applyAlignment="1">
      <alignment horizontal="center" vertical="center" wrapText="1" readingOrder="1"/>
    </xf>
    <xf numFmtId="2" fontId="0" fillId="5" borderId="2" xfId="0" applyNumberFormat="1" applyFont="1" applyFill="1" applyBorder="1" applyAlignment="1">
      <alignment horizontal="right" vertical="center" wrapText="1" readingOrder="1"/>
    </xf>
    <xf numFmtId="0" fontId="5" fillId="5" borderId="1" xfId="0" applyFont="1" applyFill="1" applyBorder="1" applyAlignment="1">
      <alignment horizontal="left" wrapText="1" readingOrder="1"/>
    </xf>
    <xf numFmtId="2" fontId="5" fillId="5" borderId="2" xfId="0" applyNumberFormat="1" applyFont="1" applyFill="1" applyBorder="1" applyAlignment="1">
      <alignment horizontal="right" vertical="center" wrapText="1" readingOrder="1"/>
    </xf>
    <xf numFmtId="2" fontId="2" fillId="5" borderId="2" xfId="0" applyNumberFormat="1" applyFont="1" applyFill="1" applyBorder="1" applyAlignment="1">
      <alignment horizontal="right" vertical="center" wrapText="1" readingOrder="1"/>
    </xf>
    <xf numFmtId="0" fontId="2" fillId="5" borderId="1" xfId="0" applyFont="1" applyFill="1" applyBorder="1" applyAlignment="1">
      <alignment horizontal="left" wrapText="1" readingOrder="1"/>
    </xf>
    <xf numFmtId="0" fontId="12" fillId="5" borderId="2" xfId="0" applyFont="1" applyFill="1" applyBorder="1" applyAlignment="1">
      <alignment horizontal="left" wrapText="1" readingOrder="1"/>
    </xf>
    <xf numFmtId="164" fontId="25" fillId="6" borderId="2" xfId="0" applyNumberFormat="1" applyFont="1" applyFill="1" applyBorder="1" applyAlignment="1">
      <alignment horizontal="left" vertical="center" wrapText="1" readingOrder="1"/>
    </xf>
    <xf numFmtId="0" fontId="7" fillId="6" borderId="2" xfId="0" applyFont="1" applyFill="1" applyBorder="1" applyAlignment="1">
      <alignment horizontal="center" wrapText="1" readingOrder="1"/>
    </xf>
    <xf numFmtId="164" fontId="25" fillId="6" borderId="2" xfId="0" applyNumberFormat="1" applyFont="1" applyFill="1" applyBorder="1" applyAlignment="1">
      <alignment horizontal="right" vertical="center" wrapText="1" readingOrder="1"/>
    </xf>
    <xf numFmtId="164" fontId="2" fillId="6" borderId="2" xfId="0" applyNumberFormat="1" applyFont="1" applyFill="1" applyBorder="1" applyAlignment="1">
      <alignment horizontal="right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20" fillId="6" borderId="2" xfId="0" applyFont="1" applyFill="1" applyBorder="1" applyAlignment="1">
      <alignment horizontal="left" wrapText="1" readingOrder="1"/>
    </xf>
    <xf numFmtId="0" fontId="4" fillId="6" borderId="2" xfId="0" applyFont="1" applyFill="1" applyBorder="1" applyAlignment="1">
      <alignment horizontal="center" vertical="center" wrapText="1" readingOrder="1"/>
    </xf>
    <xf numFmtId="0" fontId="30" fillId="6" borderId="3" xfId="0" applyFont="1" applyFill="1" applyBorder="1" applyAlignment="1">
      <alignment vertical="center" wrapText="1" readingOrder="1"/>
    </xf>
    <xf numFmtId="0" fontId="30" fillId="6" borderId="2" xfId="0" applyFont="1" applyFill="1" applyBorder="1" applyAlignment="1">
      <alignment horizontal="center" vertical="center" wrapText="1" readingOrder="1"/>
    </xf>
    <xf numFmtId="4" fontId="30" fillId="6" borderId="2" xfId="0" applyNumberFormat="1" applyFont="1" applyFill="1" applyBorder="1" applyAlignment="1">
      <alignment horizontal="center" vertical="center" wrapText="1" readingOrder="1"/>
    </xf>
    <xf numFmtId="0" fontId="17" fillId="13" borderId="49" xfId="1" applyFont="1" applyFill="1" applyBorder="1" applyAlignment="1">
      <alignment horizontal="center" vertical="center"/>
    </xf>
    <xf numFmtId="0" fontId="19" fillId="13" borderId="49" xfId="1" applyFont="1" applyFill="1" applyBorder="1" applyAlignment="1">
      <alignment horizontal="center" vertical="center"/>
    </xf>
    <xf numFmtId="0" fontId="17" fillId="13" borderId="49" xfId="1" applyFont="1" applyFill="1" applyBorder="1"/>
    <xf numFmtId="0" fontId="17" fillId="13" borderId="49" xfId="1" applyFont="1" applyFill="1" applyBorder="1" applyAlignment="1">
      <alignment horizontal="center" vertical="center" wrapText="1"/>
    </xf>
    <xf numFmtId="0" fontId="17" fillId="0" borderId="17" xfId="1" applyFont="1" applyBorder="1"/>
    <xf numFmtId="0" fontId="19" fillId="13" borderId="50" xfId="1" applyFont="1" applyFill="1" applyBorder="1" applyAlignment="1">
      <alignment horizontal="center" vertical="center"/>
    </xf>
    <xf numFmtId="8" fontId="75" fillId="6" borderId="48" xfId="0" applyNumberFormat="1" applyFont="1" applyFill="1" applyBorder="1" applyAlignment="1">
      <alignment vertical="center"/>
    </xf>
    <xf numFmtId="8" fontId="74" fillId="6" borderId="28" xfId="0" applyNumberFormat="1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right"/>
    </xf>
    <xf numFmtId="4" fontId="3" fillId="5" borderId="2" xfId="0" applyNumberFormat="1" applyFont="1" applyFill="1" applyBorder="1" applyAlignment="1">
      <alignment horizontal="right" wrapText="1" readingOrder="1"/>
    </xf>
    <xf numFmtId="0" fontId="1" fillId="9" borderId="10" xfId="0" quotePrefix="1" applyFont="1" applyFill="1" applyBorder="1" applyAlignment="1">
      <alignment horizontal="center" vertical="center" wrapText="1" readingOrder="1"/>
    </xf>
    <xf numFmtId="4" fontId="0" fillId="10" borderId="29" xfId="0" applyNumberFormat="1" applyFill="1" applyBorder="1" applyAlignment="1">
      <alignment horizontal="center" vertical="center" wrapText="1" readingOrder="1"/>
    </xf>
    <xf numFmtId="4" fontId="0" fillId="10" borderId="4" xfId="0" applyNumberForma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left" wrapText="1" readingOrder="1"/>
    </xf>
    <xf numFmtId="0" fontId="2" fillId="5" borderId="2" xfId="0" applyFont="1" applyFill="1" applyBorder="1" applyAlignment="1">
      <alignment wrapText="1" readingOrder="1"/>
    </xf>
    <xf numFmtId="0" fontId="2" fillId="5" borderId="10" xfId="0" applyFont="1" applyFill="1" applyBorder="1" applyAlignment="1">
      <alignment horizontal="center" wrapText="1" readingOrder="1"/>
    </xf>
    <xf numFmtId="49" fontId="2" fillId="5" borderId="1" xfId="0" applyNumberFormat="1" applyFont="1" applyFill="1" applyBorder="1" applyAlignment="1">
      <alignment horizontal="left" wrapText="1" readingOrder="1"/>
    </xf>
    <xf numFmtId="0" fontId="2" fillId="5" borderId="5" xfId="0" applyFont="1" applyFill="1" applyBorder="1" applyAlignment="1">
      <alignment horizontal="center" wrapText="1" readingOrder="1"/>
    </xf>
    <xf numFmtId="0" fontId="2" fillId="5" borderId="2" xfId="0" applyFont="1" applyFill="1" applyBorder="1" applyAlignment="1">
      <alignment horizontal="right" wrapText="1" readingOrder="1"/>
    </xf>
    <xf numFmtId="4" fontId="2" fillId="5" borderId="2" xfId="0" applyNumberFormat="1" applyFont="1" applyFill="1" applyBorder="1" applyAlignment="1">
      <alignment horizontal="right" wrapText="1" readingOrder="1"/>
    </xf>
    <xf numFmtId="4" fontId="0" fillId="6" borderId="0" xfId="0" applyNumberFormat="1" applyFill="1"/>
    <xf numFmtId="0" fontId="3" fillId="5" borderId="2" xfId="0" applyFont="1" applyFill="1" applyBorder="1" applyAlignment="1">
      <alignment horizontal="left" wrapText="1" readingOrder="1"/>
    </xf>
    <xf numFmtId="0" fontId="3" fillId="5" borderId="2" xfId="0" applyFont="1" applyFill="1" applyBorder="1" applyAlignment="1">
      <alignment wrapText="1" readingOrder="1"/>
    </xf>
    <xf numFmtId="0" fontId="3" fillId="5" borderId="10" xfId="0" applyFont="1" applyFill="1" applyBorder="1" applyAlignment="1">
      <alignment horizontal="center" wrapText="1" readingOrder="1"/>
    </xf>
    <xf numFmtId="49" fontId="3" fillId="5" borderId="1" xfId="0" applyNumberFormat="1" applyFont="1" applyFill="1" applyBorder="1" applyAlignment="1">
      <alignment horizontal="left" wrapText="1" readingOrder="1"/>
    </xf>
    <xf numFmtId="0" fontId="3" fillId="5" borderId="5" xfId="0" applyFont="1" applyFill="1" applyBorder="1" applyAlignment="1">
      <alignment horizontal="center" wrapText="1" readingOrder="1"/>
    </xf>
    <xf numFmtId="0" fontId="3" fillId="5" borderId="2" xfId="0" applyFont="1" applyFill="1" applyBorder="1" applyAlignment="1">
      <alignment horizontal="right" wrapText="1" readingOrder="1"/>
    </xf>
    <xf numFmtId="0" fontId="4" fillId="5" borderId="2" xfId="0" applyFont="1" applyFill="1" applyBorder="1" applyAlignment="1">
      <alignment horizontal="left" wrapText="1" readingOrder="1"/>
    </xf>
    <xf numFmtId="0" fontId="4" fillId="5" borderId="2" xfId="0" applyFont="1" applyFill="1" applyBorder="1" applyAlignment="1">
      <alignment wrapText="1" readingOrder="1"/>
    </xf>
    <xf numFmtId="0" fontId="4" fillId="5" borderId="10" xfId="0" applyFont="1" applyFill="1" applyBorder="1" applyAlignment="1">
      <alignment horizontal="center" wrapText="1" readingOrder="1"/>
    </xf>
    <xf numFmtId="49" fontId="4" fillId="5" borderId="1" xfId="0" applyNumberFormat="1" applyFont="1" applyFill="1" applyBorder="1" applyAlignment="1">
      <alignment horizontal="left" wrapText="1" readingOrder="1"/>
    </xf>
    <xf numFmtId="0" fontId="4" fillId="5" borderId="5" xfId="0" applyFont="1" applyFill="1" applyBorder="1" applyAlignment="1">
      <alignment horizontal="center" wrapText="1" readingOrder="1"/>
    </xf>
    <xf numFmtId="0" fontId="4" fillId="5" borderId="2" xfId="0" applyFont="1" applyFill="1" applyBorder="1" applyAlignment="1">
      <alignment horizontal="right" wrapText="1" readingOrder="1"/>
    </xf>
    <xf numFmtId="4" fontId="4" fillId="5" borderId="2" xfId="0" applyNumberFormat="1" applyFont="1" applyFill="1" applyBorder="1" applyAlignment="1">
      <alignment horizontal="right" wrapText="1" readingOrder="1"/>
    </xf>
    <xf numFmtId="0" fontId="4" fillId="5" borderId="11" xfId="0" applyFont="1" applyFill="1" applyBorder="1" applyAlignment="1">
      <alignment horizontal="left" readingOrder="1"/>
    </xf>
    <xf numFmtId="0" fontId="4" fillId="5" borderId="2" xfId="0" applyFont="1" applyFill="1" applyBorder="1" applyAlignment="1">
      <alignment readingOrder="1"/>
    </xf>
    <xf numFmtId="0" fontId="4" fillId="5" borderId="11" xfId="0" applyFont="1" applyFill="1" applyBorder="1" applyAlignment="1">
      <alignment readingOrder="1"/>
    </xf>
    <xf numFmtId="0" fontId="4" fillId="5" borderId="11" xfId="0" applyFont="1" applyFill="1" applyBorder="1" applyAlignment="1">
      <alignment horizontal="center" readingOrder="1"/>
    </xf>
    <xf numFmtId="0" fontId="4" fillId="5" borderId="23" xfId="0" applyFont="1" applyFill="1" applyBorder="1" applyAlignment="1">
      <alignment horizontal="center" readingOrder="1"/>
    </xf>
    <xf numFmtId="0" fontId="4" fillId="5" borderId="5" xfId="0" applyFont="1" applyFill="1" applyBorder="1" applyAlignment="1">
      <alignment horizontal="center" readingOrder="1"/>
    </xf>
    <xf numFmtId="0" fontId="4" fillId="5" borderId="2" xfId="0" applyFont="1" applyFill="1" applyBorder="1" applyAlignment="1">
      <alignment horizontal="right" readingOrder="1"/>
    </xf>
    <xf numFmtId="0" fontId="4" fillId="5" borderId="51" xfId="0" applyFont="1" applyFill="1" applyBorder="1" applyAlignment="1">
      <alignment wrapText="1" readingOrder="1"/>
    </xf>
    <xf numFmtId="0" fontId="4" fillId="5" borderId="29" xfId="0" applyFont="1" applyFill="1" applyBorder="1" applyAlignment="1">
      <alignment horizontal="center" readingOrder="1"/>
    </xf>
    <xf numFmtId="0" fontId="4" fillId="5" borderId="1" xfId="0" applyFont="1" applyFill="1" applyBorder="1" applyAlignment="1">
      <alignment vertical="center" wrapText="1" readingOrder="1"/>
    </xf>
    <xf numFmtId="0" fontId="4" fillId="5" borderId="29" xfId="0" applyFont="1" applyFill="1" applyBorder="1" applyAlignment="1">
      <alignment horizontal="center" vertical="center" readingOrder="1"/>
    </xf>
    <xf numFmtId="17" fontId="4" fillId="5" borderId="1" xfId="0" applyNumberFormat="1" applyFont="1" applyFill="1" applyBorder="1" applyAlignment="1">
      <alignment horizontal="left" wrapText="1" readingOrder="1"/>
    </xf>
    <xf numFmtId="0" fontId="4" fillId="5" borderId="31" xfId="0" applyFont="1" applyFill="1" applyBorder="1" applyAlignment="1">
      <alignment wrapText="1" readingOrder="1"/>
    </xf>
    <xf numFmtId="0" fontId="4" fillId="5" borderId="10" xfId="0" applyFont="1" applyFill="1" applyBorder="1" applyAlignment="1">
      <alignment wrapText="1" readingOrder="1"/>
    </xf>
    <xf numFmtId="0" fontId="4" fillId="5" borderId="29" xfId="0" applyFont="1" applyFill="1" applyBorder="1" applyAlignment="1">
      <alignment horizontal="center" wrapText="1" readingOrder="1"/>
    </xf>
    <xf numFmtId="0" fontId="4" fillId="5" borderId="11" xfId="0" applyFont="1" applyFill="1" applyBorder="1" applyAlignment="1">
      <alignment vertical="center" wrapText="1" readingOrder="1"/>
    </xf>
    <xf numFmtId="0" fontId="4" fillId="5" borderId="2" xfId="0" applyFont="1" applyFill="1" applyBorder="1" applyAlignment="1">
      <alignment horizontal="center" wrapText="1" readingOrder="1"/>
    </xf>
    <xf numFmtId="0" fontId="4" fillId="5" borderId="0" xfId="0" applyFont="1" applyFill="1" applyBorder="1" applyAlignment="1">
      <alignment vertical="center" wrapText="1" readingOrder="1"/>
    </xf>
    <xf numFmtId="0" fontId="4" fillId="5" borderId="12" xfId="0" applyFont="1" applyFill="1" applyBorder="1" applyAlignment="1">
      <alignment horizontal="center" wrapText="1" readingOrder="1"/>
    </xf>
    <xf numFmtId="0" fontId="4" fillId="5" borderId="34" xfId="0" applyFont="1" applyFill="1" applyBorder="1" applyAlignment="1">
      <alignment vertical="center" wrapText="1" readingOrder="1"/>
    </xf>
    <xf numFmtId="0" fontId="4" fillId="5" borderId="10" xfId="0" applyFont="1" applyFill="1" applyBorder="1" applyAlignment="1">
      <alignment horizontal="left" wrapText="1" readingOrder="1"/>
    </xf>
    <xf numFmtId="17" fontId="4" fillId="5" borderId="3" xfId="0" applyNumberFormat="1" applyFont="1" applyFill="1" applyBorder="1" applyAlignment="1">
      <alignment horizontal="left" wrapText="1" readingOrder="1"/>
    </xf>
    <xf numFmtId="49" fontId="4" fillId="5" borderId="3" xfId="0" applyNumberFormat="1" applyFont="1" applyFill="1" applyBorder="1" applyAlignment="1">
      <alignment horizontal="left" wrapText="1" readingOrder="1"/>
    </xf>
    <xf numFmtId="17" fontId="4" fillId="5" borderId="11" xfId="0" applyNumberFormat="1" applyFont="1" applyFill="1" applyBorder="1" applyAlignment="1">
      <alignment horizontal="left" wrapText="1" readingOrder="1"/>
    </xf>
    <xf numFmtId="49" fontId="4" fillId="5" borderId="2" xfId="0" applyNumberFormat="1" applyFont="1" applyFill="1" applyBorder="1" applyAlignment="1">
      <alignment horizontal="left" wrapText="1" readingOrder="1"/>
    </xf>
    <xf numFmtId="49" fontId="4" fillId="5" borderId="5" xfId="0" applyNumberFormat="1" applyFont="1" applyFill="1" applyBorder="1" applyAlignment="1">
      <alignment horizontal="left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2" fillId="5" borderId="2" xfId="0" applyFont="1" applyFill="1" applyBorder="1" applyAlignment="1">
      <alignment horizontal="center" wrapText="1" readingOrder="1"/>
    </xf>
    <xf numFmtId="49" fontId="2" fillId="5" borderId="2" xfId="0" applyNumberFormat="1" applyFont="1" applyFill="1" applyBorder="1" applyAlignment="1">
      <alignment horizontal="left" wrapText="1" readingOrder="1"/>
    </xf>
    <xf numFmtId="0" fontId="3" fillId="5" borderId="2" xfId="0" applyFont="1" applyFill="1" applyBorder="1" applyAlignment="1">
      <alignment horizontal="center" wrapText="1" readingOrder="1"/>
    </xf>
    <xf numFmtId="49" fontId="3" fillId="5" borderId="2" xfId="0" applyNumberFormat="1" applyFont="1" applyFill="1" applyBorder="1" applyAlignment="1">
      <alignment horizontal="left" wrapText="1" readingOrder="1"/>
    </xf>
    <xf numFmtId="4" fontId="2" fillId="5" borderId="2" xfId="0" applyNumberFormat="1" applyFont="1" applyFill="1" applyBorder="1" applyAlignment="1">
      <alignment horizontal="right" vertical="center" wrapText="1" readingOrder="1"/>
    </xf>
    <xf numFmtId="4" fontId="4" fillId="5" borderId="2" xfId="0" applyNumberFormat="1" applyFont="1" applyFill="1" applyBorder="1" applyAlignment="1">
      <alignment horizontal="right" vertical="center" wrapText="1" readingOrder="1"/>
    </xf>
    <xf numFmtId="0" fontId="26" fillId="5" borderId="2" xfId="0" applyFont="1" applyFill="1" applyBorder="1" applyAlignment="1">
      <alignment horizontal="left" wrapText="1" readingOrder="1"/>
    </xf>
    <xf numFmtId="49" fontId="26" fillId="5" borderId="2" xfId="0" applyNumberFormat="1" applyFont="1" applyFill="1" applyBorder="1" applyAlignment="1">
      <alignment horizontal="left" wrapText="1" readingOrder="1"/>
    </xf>
    <xf numFmtId="4" fontId="12" fillId="5" borderId="2" xfId="0" applyNumberFormat="1" applyFont="1" applyFill="1" applyBorder="1" applyAlignment="1">
      <alignment horizontal="right" wrapText="1" readingOrder="1"/>
    </xf>
    <xf numFmtId="0" fontId="26" fillId="5" borderId="2" xfId="0" applyFont="1" applyFill="1" applyBorder="1" applyAlignment="1">
      <alignment wrapText="1" readingOrder="1"/>
    </xf>
    <xf numFmtId="0" fontId="26" fillId="5" borderId="2" xfId="0" applyFont="1" applyFill="1" applyBorder="1" applyAlignment="1">
      <alignment horizontal="center" wrapText="1" readingOrder="1"/>
    </xf>
    <xf numFmtId="4" fontId="26" fillId="5" borderId="2" xfId="0" applyNumberFormat="1" applyFont="1" applyFill="1" applyBorder="1" applyAlignment="1">
      <alignment horizontal="right" wrapText="1" readingOrder="1"/>
    </xf>
    <xf numFmtId="0" fontId="26" fillId="5" borderId="2" xfId="0" applyFont="1" applyFill="1" applyBorder="1" applyAlignment="1">
      <alignment horizontal="right" wrapText="1" readingOrder="1"/>
    </xf>
    <xf numFmtId="0" fontId="35" fillId="5" borderId="2" xfId="0" applyFont="1" applyFill="1" applyBorder="1" applyAlignment="1">
      <alignment horizontal="left" wrapText="1" readingOrder="1"/>
    </xf>
    <xf numFmtId="0" fontId="35" fillId="5" borderId="2" xfId="0" applyFont="1" applyFill="1" applyBorder="1" applyAlignment="1">
      <alignment wrapText="1" readingOrder="1"/>
    </xf>
    <xf numFmtId="0" fontId="35" fillId="5" borderId="2" xfId="0" applyFont="1" applyFill="1" applyBorder="1" applyAlignment="1">
      <alignment horizontal="center" wrapText="1" readingOrder="1"/>
    </xf>
    <xf numFmtId="49" fontId="35" fillId="5" borderId="2" xfId="0" applyNumberFormat="1" applyFont="1" applyFill="1" applyBorder="1" applyAlignment="1">
      <alignment horizontal="left" wrapText="1" readingOrder="1"/>
    </xf>
    <xf numFmtId="0" fontId="35" fillId="5" borderId="2" xfId="0" applyFont="1" applyFill="1" applyBorder="1" applyAlignment="1">
      <alignment horizontal="right" wrapText="1" readingOrder="1"/>
    </xf>
    <xf numFmtId="4" fontId="35" fillId="5" borderId="2" xfId="0" applyNumberFormat="1" applyFont="1" applyFill="1" applyBorder="1" applyAlignment="1">
      <alignment horizontal="right" wrapText="1" readingOrder="1"/>
    </xf>
    <xf numFmtId="49" fontId="4" fillId="5" borderId="2" xfId="0" applyNumberFormat="1" applyFont="1" applyFill="1" applyBorder="1" applyAlignment="1">
      <alignment horizontal="center" vertical="center" wrapText="1" readingOrder="1"/>
    </xf>
    <xf numFmtId="49" fontId="4" fillId="5" borderId="2" xfId="0" applyNumberFormat="1" applyFont="1" applyFill="1" applyBorder="1" applyAlignment="1">
      <alignment horizontal="center" wrapText="1" readingOrder="1"/>
    </xf>
    <xf numFmtId="0" fontId="4" fillId="5" borderId="11" xfId="0" applyFont="1" applyFill="1" applyBorder="1" applyAlignment="1">
      <alignment wrapText="1" readingOrder="1"/>
    </xf>
    <xf numFmtId="49" fontId="4" fillId="5" borderId="11" xfId="0" applyNumberFormat="1" applyFont="1" applyFill="1" applyBorder="1" applyAlignment="1">
      <alignment horizontal="left" wrapText="1" readingOrder="1"/>
    </xf>
    <xf numFmtId="0" fontId="4" fillId="5" borderId="1" xfId="0" applyFont="1" applyFill="1" applyBorder="1" applyAlignment="1">
      <alignment horizontal="left" readingOrder="1"/>
    </xf>
    <xf numFmtId="0" fontId="4" fillId="5" borderId="27" xfId="0" applyFont="1" applyFill="1" applyBorder="1" applyAlignment="1">
      <alignment wrapText="1" readingOrder="1"/>
    </xf>
    <xf numFmtId="0" fontId="4" fillId="5" borderId="6" xfId="0" applyFont="1" applyFill="1" applyBorder="1" applyAlignment="1">
      <alignment horizontal="center" vertical="center" readingOrder="1"/>
    </xf>
    <xf numFmtId="0" fontId="4" fillId="5" borderId="10" xfId="0" applyFont="1" applyFill="1" applyBorder="1" applyAlignment="1">
      <alignment horizontal="left" readingOrder="1"/>
    </xf>
    <xf numFmtId="49" fontId="4" fillId="5" borderId="1" xfId="0" applyNumberFormat="1" applyFont="1" applyFill="1" applyBorder="1" applyAlignment="1">
      <alignment horizontal="left" readingOrder="1"/>
    </xf>
    <xf numFmtId="0" fontId="4" fillId="5" borderId="6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readingOrder="1"/>
    </xf>
    <xf numFmtId="49" fontId="4" fillId="5" borderId="3" xfId="0" applyNumberFormat="1" applyFont="1" applyFill="1" applyBorder="1" applyAlignment="1">
      <alignment horizontal="left" readingOrder="1"/>
    </xf>
    <xf numFmtId="0" fontId="4" fillId="5" borderId="2" xfId="0" applyFont="1" applyFill="1" applyBorder="1" applyAlignment="1">
      <alignment horizontal="center" readingOrder="1"/>
    </xf>
    <xf numFmtId="49" fontId="4" fillId="5" borderId="2" xfId="0" applyNumberFormat="1" applyFont="1" applyFill="1" applyBorder="1" applyAlignment="1">
      <alignment horizontal="left" readingOrder="1"/>
    </xf>
    <xf numFmtId="0" fontId="4" fillId="5" borderId="3" xfId="0" applyFont="1" applyFill="1" applyBorder="1" applyAlignment="1">
      <alignment wrapText="1" readingOrder="1"/>
    </xf>
    <xf numFmtId="0" fontId="20" fillId="5" borderId="2" xfId="0" applyFont="1" applyFill="1" applyBorder="1" applyAlignment="1">
      <alignment horizontal="left" wrapText="1" readingOrder="1"/>
    </xf>
    <xf numFmtId="0" fontId="20" fillId="5" borderId="2" xfId="0" applyFont="1" applyFill="1" applyBorder="1" applyAlignment="1">
      <alignment wrapText="1" readingOrder="1"/>
    </xf>
    <xf numFmtId="0" fontId="20" fillId="5" borderId="2" xfId="0" applyFont="1" applyFill="1" applyBorder="1" applyAlignment="1">
      <alignment horizontal="center" wrapText="1" readingOrder="1"/>
    </xf>
    <xf numFmtId="49" fontId="20" fillId="5" borderId="2" xfId="0" applyNumberFormat="1" applyFont="1" applyFill="1" applyBorder="1" applyAlignment="1">
      <alignment horizontal="left" wrapText="1" readingOrder="1"/>
    </xf>
    <xf numFmtId="0" fontId="20" fillId="5" borderId="2" xfId="0" applyFont="1" applyFill="1" applyBorder="1" applyAlignment="1">
      <alignment horizontal="right" wrapText="1" readingOrder="1"/>
    </xf>
    <xf numFmtId="4" fontId="20" fillId="5" borderId="2" xfId="0" applyNumberFormat="1" applyFont="1" applyFill="1" applyBorder="1" applyAlignment="1">
      <alignment horizontal="right" wrapText="1" readingOrder="1"/>
    </xf>
    <xf numFmtId="0" fontId="4" fillId="5" borderId="51" xfId="0" applyFont="1" applyFill="1" applyBorder="1" applyAlignment="1">
      <alignment vertical="center" wrapText="1" readingOrder="1"/>
    </xf>
    <xf numFmtId="0" fontId="4" fillId="5" borderId="1" xfId="0" applyFont="1" applyFill="1" applyBorder="1" applyAlignment="1">
      <alignment horizontal="center" readingOrder="1"/>
    </xf>
    <xf numFmtId="0" fontId="4" fillId="5" borderId="11" xfId="0" applyFont="1" applyFill="1" applyBorder="1" applyAlignment="1">
      <alignment vertical="center" readingOrder="1"/>
    </xf>
    <xf numFmtId="0" fontId="4" fillId="5" borderId="3" xfId="0" applyFont="1" applyFill="1" applyBorder="1" applyAlignment="1">
      <alignment vertical="center" readingOrder="1"/>
    </xf>
    <xf numFmtId="0" fontId="4" fillId="5" borderId="21" xfId="0" applyFont="1" applyFill="1" applyBorder="1" applyAlignment="1">
      <alignment vertical="center" wrapText="1" readingOrder="1"/>
    </xf>
    <xf numFmtId="0" fontId="4" fillId="5" borderId="11" xfId="0" applyFont="1" applyFill="1" applyBorder="1" applyAlignment="1">
      <alignment horizontal="center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52" xfId="0" applyFont="1" applyFill="1" applyBorder="1" applyAlignment="1">
      <alignment vertical="center" wrapText="1" readingOrder="1"/>
    </xf>
    <xf numFmtId="17" fontId="4" fillId="5" borderId="2" xfId="0" applyNumberFormat="1" applyFont="1" applyFill="1" applyBorder="1" applyAlignment="1">
      <alignment horizontal="left" readingOrder="1"/>
    </xf>
    <xf numFmtId="0" fontId="4" fillId="24" borderId="2" xfId="0" applyFont="1" applyFill="1" applyBorder="1" applyAlignment="1">
      <alignment horizontal="left" wrapText="1" readingOrder="1"/>
    </xf>
    <xf numFmtId="0" fontId="4" fillId="24" borderId="2" xfId="0" applyFont="1" applyFill="1" applyBorder="1" applyAlignment="1">
      <alignment wrapText="1" readingOrder="1"/>
    </xf>
    <xf numFmtId="0" fontId="4" fillId="24" borderId="2" xfId="0" applyFont="1" applyFill="1" applyBorder="1" applyAlignment="1">
      <alignment horizontal="center" wrapText="1" readingOrder="1"/>
    </xf>
    <xf numFmtId="49" fontId="4" fillId="24" borderId="2" xfId="0" applyNumberFormat="1" applyFont="1" applyFill="1" applyBorder="1" applyAlignment="1">
      <alignment horizontal="left" wrapText="1" readingOrder="1"/>
    </xf>
    <xf numFmtId="0" fontId="4" fillId="24" borderId="2" xfId="0" applyFont="1" applyFill="1" applyBorder="1" applyAlignment="1">
      <alignment horizontal="right" wrapText="1" readingOrder="1"/>
    </xf>
    <xf numFmtId="4" fontId="4" fillId="24" borderId="2" xfId="0" applyNumberFormat="1" applyFont="1" applyFill="1" applyBorder="1" applyAlignment="1">
      <alignment horizontal="right" wrapText="1" readingOrder="1"/>
    </xf>
    <xf numFmtId="0" fontId="2" fillId="7" borderId="2" xfId="0" applyFont="1" applyFill="1" applyBorder="1" applyAlignment="1">
      <alignment horizontal="left" wrapText="1" readingOrder="1"/>
    </xf>
    <xf numFmtId="0" fontId="2" fillId="7" borderId="2" xfId="0" applyFont="1" applyFill="1" applyBorder="1" applyAlignment="1">
      <alignment wrapText="1" readingOrder="1"/>
    </xf>
    <xf numFmtId="0" fontId="2" fillId="7" borderId="2" xfId="0" applyFont="1" applyFill="1" applyBorder="1" applyAlignment="1">
      <alignment horizontal="center" wrapText="1" readingOrder="1"/>
    </xf>
    <xf numFmtId="49" fontId="2" fillId="7" borderId="2" xfId="0" applyNumberFormat="1" applyFont="1" applyFill="1" applyBorder="1" applyAlignment="1">
      <alignment horizontal="left" wrapText="1" readingOrder="1"/>
    </xf>
    <xf numFmtId="0" fontId="2" fillId="7" borderId="2" xfId="0" applyFont="1" applyFill="1" applyBorder="1" applyAlignment="1">
      <alignment horizontal="right" wrapText="1" readingOrder="1"/>
    </xf>
    <xf numFmtId="4" fontId="2" fillId="7" borderId="2" xfId="0" applyNumberFormat="1" applyFont="1" applyFill="1" applyBorder="1" applyAlignment="1">
      <alignment horizontal="right" wrapText="1" readingOrder="1"/>
    </xf>
    <xf numFmtId="0" fontId="27" fillId="5" borderId="1" xfId="0" applyFont="1" applyFill="1" applyBorder="1" applyAlignment="1">
      <alignment horizontal="left" wrapText="1" readingOrder="1"/>
    </xf>
    <xf numFmtId="0" fontId="27" fillId="5" borderId="1" xfId="0" applyFont="1" applyFill="1" applyBorder="1" applyAlignment="1">
      <alignment wrapText="1" readingOrder="1"/>
    </xf>
    <xf numFmtId="0" fontId="27" fillId="5" borderId="21" xfId="0" applyFont="1" applyFill="1" applyBorder="1" applyAlignment="1">
      <alignment wrapText="1" readingOrder="1"/>
    </xf>
    <xf numFmtId="0" fontId="27" fillId="5" borderId="1" xfId="0" applyFont="1" applyFill="1" applyBorder="1" applyAlignment="1">
      <alignment horizontal="center" wrapText="1" readingOrder="1"/>
    </xf>
    <xf numFmtId="0" fontId="27" fillId="5" borderId="1" xfId="0" applyFont="1" applyFill="1" applyBorder="1" applyAlignment="1">
      <alignment horizontal="right" wrapText="1" readingOrder="1"/>
    </xf>
    <xf numFmtId="4" fontId="0" fillId="6" borderId="1" xfId="0" applyNumberFormat="1" applyFill="1" applyBorder="1" applyAlignment="1">
      <alignment horizontal="right"/>
    </xf>
    <xf numFmtId="0" fontId="7" fillId="5" borderId="2" xfId="0" applyFont="1" applyFill="1" applyBorder="1" applyAlignment="1">
      <alignment horizontal="left" vertical="center" wrapText="1" readingOrder="1"/>
    </xf>
    <xf numFmtId="0" fontId="7" fillId="5" borderId="29" xfId="0" applyFont="1" applyFill="1" applyBorder="1" applyAlignment="1">
      <alignment vertical="center" wrapText="1" readingOrder="1"/>
    </xf>
    <xf numFmtId="0" fontId="4" fillId="5" borderId="1" xfId="0" applyFont="1" applyFill="1" applyBorder="1" applyAlignment="1">
      <alignment horizontal="center" vertical="center" readingOrder="1"/>
    </xf>
    <xf numFmtId="0" fontId="4" fillId="5" borderId="5" xfId="0" applyFont="1" applyFill="1" applyBorder="1" applyAlignment="1">
      <alignment wrapText="1" readingOrder="1"/>
    </xf>
    <xf numFmtId="0" fontId="0" fillId="6" borderId="1" xfId="0" applyFill="1" applyBorder="1" applyAlignment="1"/>
    <xf numFmtId="0" fontId="0" fillId="6" borderId="0" xfId="0" applyFill="1" applyAlignment="1"/>
    <xf numFmtId="0" fontId="7" fillId="5" borderId="10" xfId="0" applyFont="1" applyFill="1" applyBorder="1" applyAlignment="1">
      <alignment horizontal="left" wrapText="1" readingOrder="1"/>
    </xf>
    <xf numFmtId="4" fontId="7" fillId="5" borderId="2" xfId="0" applyNumberFormat="1" applyFont="1" applyFill="1" applyBorder="1" applyAlignment="1">
      <alignment horizontal="right" wrapText="1" readingOrder="1"/>
    </xf>
    <xf numFmtId="0" fontId="18" fillId="2" borderId="36" xfId="0" quotePrefix="1" applyFont="1" applyFill="1" applyBorder="1" applyAlignment="1">
      <alignment horizontal="center" vertical="center" wrapText="1" readingOrder="1"/>
    </xf>
    <xf numFmtId="0" fontId="18" fillId="11" borderId="13" xfId="0" quotePrefix="1" applyFont="1" applyFill="1" applyBorder="1" applyAlignment="1">
      <alignment horizontal="center" vertical="center" wrapText="1" readingOrder="1"/>
    </xf>
    <xf numFmtId="167" fontId="62" fillId="6" borderId="44" xfId="0" applyNumberFormat="1" applyFont="1" applyFill="1" applyBorder="1" applyAlignment="1">
      <alignment horizontal="center" vertical="center"/>
    </xf>
    <xf numFmtId="0" fontId="65" fillId="6" borderId="44" xfId="0" applyFont="1" applyFill="1" applyBorder="1"/>
    <xf numFmtId="0" fontId="65" fillId="6" borderId="6" xfId="0" applyFont="1" applyFill="1" applyBorder="1"/>
    <xf numFmtId="167" fontId="61" fillId="22" borderId="0" xfId="0" applyNumberFormat="1" applyFont="1" applyFill="1" applyAlignment="1">
      <alignment horizontal="center" vertical="center" wrapText="1"/>
    </xf>
    <xf numFmtId="0" fontId="0" fillId="6" borderId="0" xfId="0" applyFont="1" applyFill="1" applyAlignment="1"/>
    <xf numFmtId="0" fontId="68" fillId="20" borderId="42" xfId="0" applyFont="1" applyFill="1" applyBorder="1" applyAlignment="1">
      <alignment horizontal="center" vertical="center"/>
    </xf>
    <xf numFmtId="0" fontId="65" fillId="0" borderId="36" xfId="0" applyFont="1" applyBorder="1"/>
    <xf numFmtId="0" fontId="71" fillId="6" borderId="28" xfId="0" applyFont="1" applyFill="1" applyBorder="1" applyAlignment="1">
      <alignment horizontal="center" vertical="center" wrapText="1"/>
    </xf>
    <xf numFmtId="0" fontId="71" fillId="6" borderId="46" xfId="0" applyFont="1" applyFill="1" applyBorder="1" applyAlignment="1">
      <alignment horizontal="center" vertical="center" wrapText="1"/>
    </xf>
    <xf numFmtId="0" fontId="71" fillId="6" borderId="25" xfId="0" applyFont="1" applyFill="1" applyBorder="1" applyAlignment="1">
      <alignment horizontal="center" vertical="center" wrapText="1"/>
    </xf>
    <xf numFmtId="8" fontId="75" fillId="6" borderId="48" xfId="0" applyNumberFormat="1" applyFont="1" applyFill="1" applyBorder="1" applyAlignment="1">
      <alignment horizontal="center" vertical="center"/>
    </xf>
    <xf numFmtId="8" fontId="75" fillId="6" borderId="47" xfId="0" applyNumberFormat="1" applyFont="1" applyFill="1" applyBorder="1" applyAlignment="1">
      <alignment horizontal="center" vertical="center"/>
    </xf>
    <xf numFmtId="0" fontId="63" fillId="22" borderId="43" xfId="0" applyFont="1" applyFill="1" applyBorder="1" applyAlignment="1">
      <alignment horizontal="left" vertical="center"/>
    </xf>
    <xf numFmtId="0" fontId="65" fillId="6" borderId="43" xfId="0" applyFont="1" applyFill="1" applyBorder="1"/>
    <xf numFmtId="0" fontId="65" fillId="6" borderId="3" xfId="0" applyFont="1" applyFill="1" applyBorder="1"/>
    <xf numFmtId="0" fontId="63" fillId="22" borderId="44" xfId="0" applyFont="1" applyFill="1" applyBorder="1" applyAlignment="1">
      <alignment horizontal="center" vertical="center"/>
    </xf>
    <xf numFmtId="0" fontId="64" fillId="22" borderId="11" xfId="0" applyFont="1" applyFill="1" applyBorder="1" applyAlignment="1">
      <alignment horizontal="left" vertical="center" wrapText="1"/>
    </xf>
    <xf numFmtId="0" fontId="64" fillId="22" borderId="43" xfId="0" applyFont="1" applyFill="1" applyBorder="1" applyAlignment="1">
      <alignment horizontal="left" vertical="center" wrapText="1"/>
    </xf>
    <xf numFmtId="0" fontId="64" fillId="22" borderId="3" xfId="0" applyFont="1" applyFill="1" applyBorder="1" applyAlignment="1">
      <alignment horizontal="left" vertical="center" wrapText="1"/>
    </xf>
    <xf numFmtId="0" fontId="64" fillId="22" borderId="44" xfId="0" applyFont="1" applyFill="1" applyBorder="1" applyAlignment="1">
      <alignment horizontal="center" vertical="center" wrapText="1"/>
    </xf>
    <xf numFmtId="14" fontId="61" fillId="23" borderId="44" xfId="0" applyNumberFormat="1" applyFont="1" applyFill="1" applyBorder="1" applyAlignment="1">
      <alignment horizontal="center" vertical="center"/>
    </xf>
    <xf numFmtId="167" fontId="61" fillId="6" borderId="0" xfId="0" applyNumberFormat="1" applyFont="1" applyFill="1" applyAlignment="1">
      <alignment horizontal="center" vertical="center" wrapText="1"/>
    </xf>
    <xf numFmtId="165" fontId="61" fillId="23" borderId="44" xfId="0" applyNumberFormat="1" applyFont="1" applyFill="1" applyBorder="1" applyAlignment="1">
      <alignment horizontal="center" vertical="center"/>
    </xf>
    <xf numFmtId="167" fontId="62" fillId="22" borderId="44" xfId="0" applyNumberFormat="1" applyFont="1" applyFill="1" applyBorder="1" applyAlignment="1">
      <alignment horizontal="center" vertical="center"/>
    </xf>
    <xf numFmtId="168" fontId="61" fillId="23" borderId="44" xfId="0" applyNumberFormat="1" applyFont="1" applyFill="1" applyBorder="1" applyAlignment="1">
      <alignment horizontal="center" vertical="center"/>
    </xf>
    <xf numFmtId="0" fontId="63" fillId="22" borderId="44" xfId="0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readingOrder="1"/>
    </xf>
    <xf numFmtId="0" fontId="4" fillId="5" borderId="6" xfId="0" applyFont="1" applyFill="1" applyBorder="1" applyAlignment="1">
      <alignment horizontal="center" vertical="center" readingOrder="1"/>
    </xf>
    <xf numFmtId="0" fontId="48" fillId="15" borderId="14" xfId="0" quotePrefix="1" applyFont="1" applyFill="1" applyBorder="1" applyAlignment="1">
      <alignment horizontal="center" vertical="center" wrapText="1" readingOrder="1"/>
    </xf>
    <xf numFmtId="0" fontId="48" fillId="15" borderId="15" xfId="0" quotePrefix="1" applyFont="1" applyFill="1" applyBorder="1" applyAlignment="1">
      <alignment horizontal="center" vertical="center" wrapText="1" readingOrder="1"/>
    </xf>
    <xf numFmtId="0" fontId="14" fillId="0" borderId="21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left" vertical="center" wrapText="1" readingOrder="1"/>
    </xf>
    <xf numFmtId="4" fontId="0" fillId="0" borderId="22" xfId="0" applyNumberFormat="1" applyFill="1" applyBorder="1" applyAlignment="1">
      <alignment horizontal="left" vertical="center" wrapText="1" readingOrder="1"/>
    </xf>
    <xf numFmtId="4" fontId="0" fillId="0" borderId="7" xfId="0" applyNumberFormat="1" applyFill="1" applyBorder="1" applyAlignment="1">
      <alignment horizontal="left" vertical="center" wrapText="1" readingOrder="1"/>
    </xf>
    <xf numFmtId="0" fontId="14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 readingOrder="1"/>
    </xf>
    <xf numFmtId="0" fontId="12" fillId="0" borderId="22" xfId="0" applyFont="1" applyFill="1" applyBorder="1" applyAlignment="1">
      <alignment horizontal="center" vertical="center" wrapText="1" readingOrder="1"/>
    </xf>
    <xf numFmtId="0" fontId="12" fillId="0" borderId="7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2" fillId="0" borderId="10" xfId="0" applyFont="1" applyFill="1" applyBorder="1" applyAlignment="1">
      <alignment horizontal="left" vertical="center" wrapText="1" indent="2" readingOrder="1"/>
    </xf>
    <xf numFmtId="0" fontId="12" fillId="0" borderId="6" xfId="0" applyFont="1" applyFill="1" applyBorder="1" applyAlignment="1">
      <alignment horizontal="left" vertical="center" wrapText="1" indent="2" readingOrder="1"/>
    </xf>
    <xf numFmtId="44" fontId="14" fillId="0" borderId="21" xfId="0" applyNumberFormat="1" applyFont="1" applyFill="1" applyBorder="1" applyAlignment="1">
      <alignment horizontal="center" vertical="center"/>
    </xf>
    <xf numFmtId="44" fontId="14" fillId="0" borderId="22" xfId="0" applyNumberFormat="1" applyFont="1" applyFill="1" applyBorder="1" applyAlignment="1">
      <alignment horizontal="center" vertical="center"/>
    </xf>
    <xf numFmtId="44" fontId="14" fillId="0" borderId="7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wrapText="1" readingOrder="1"/>
    </xf>
    <xf numFmtId="0" fontId="7" fillId="0" borderId="20" xfId="0" applyFont="1" applyFill="1" applyBorder="1" applyAlignment="1">
      <alignment horizontal="left" wrapText="1" readingOrder="1"/>
    </xf>
    <xf numFmtId="0" fontId="12" fillId="0" borderId="5" xfId="0" applyFont="1" applyFill="1" applyBorder="1" applyAlignment="1">
      <alignment horizontal="left" vertical="center" wrapText="1" indent="2" readingOrder="1"/>
    </xf>
    <xf numFmtId="0" fontId="51" fillId="17" borderId="10" xfId="0" applyFont="1" applyFill="1" applyBorder="1" applyAlignment="1">
      <alignment horizontal="left" wrapText="1" readingOrder="1"/>
    </xf>
    <xf numFmtId="0" fontId="51" fillId="17" borderId="5" xfId="0" applyFont="1" applyFill="1" applyBorder="1" applyAlignment="1">
      <alignment horizontal="left" wrapText="1" readingOrder="1"/>
    </xf>
    <xf numFmtId="0" fontId="12" fillId="0" borderId="23" xfId="0" applyFont="1" applyFill="1" applyBorder="1" applyAlignment="1">
      <alignment horizontal="left" vertical="center" wrapText="1" indent="2" readingOrder="1"/>
    </xf>
    <xf numFmtId="0" fontId="12" fillId="0" borderId="27" xfId="0" applyFont="1" applyFill="1" applyBorder="1" applyAlignment="1">
      <alignment horizontal="left" vertical="center" wrapText="1" indent="2" readingOrder="1"/>
    </xf>
    <xf numFmtId="0" fontId="12" fillId="0" borderId="23" xfId="0" applyFont="1" applyFill="1" applyBorder="1" applyAlignment="1">
      <alignment horizontal="left" wrapText="1" indent="2" readingOrder="1"/>
    </xf>
    <xf numFmtId="0" fontId="12" fillId="0" borderId="27" xfId="0" applyFont="1" applyFill="1" applyBorder="1" applyAlignment="1">
      <alignment horizontal="left" wrapText="1" indent="2" readingOrder="1"/>
    </xf>
    <xf numFmtId="0" fontId="51" fillId="17" borderId="29" xfId="0" applyFont="1" applyFill="1" applyBorder="1" applyAlignment="1">
      <alignment horizontal="left" wrapText="1" readingOrder="1"/>
    </xf>
    <xf numFmtId="0" fontId="51" fillId="17" borderId="4" xfId="0" applyFont="1" applyFill="1" applyBorder="1" applyAlignment="1">
      <alignment horizontal="left" wrapText="1" readingOrder="1"/>
    </xf>
    <xf numFmtId="0" fontId="7" fillId="0" borderId="12" xfId="0" applyFont="1" applyFill="1" applyBorder="1" applyAlignment="1">
      <alignment horizontal="left" wrapText="1" readingOrder="1"/>
    </xf>
    <xf numFmtId="0" fontId="7" fillId="0" borderId="32" xfId="0" applyFont="1" applyFill="1" applyBorder="1" applyAlignment="1">
      <alignment horizontal="left" wrapText="1" readingOrder="1"/>
    </xf>
    <xf numFmtId="0" fontId="3" fillId="12" borderId="14" xfId="0" applyFont="1" applyFill="1" applyBorder="1" applyAlignment="1">
      <alignment horizontal="center" wrapText="1" readingOrder="1"/>
    </xf>
    <xf numFmtId="0" fontId="3" fillId="12" borderId="0" xfId="0" applyFont="1" applyFill="1" applyBorder="1" applyAlignment="1">
      <alignment horizontal="center" wrapText="1" readingOrder="1"/>
    </xf>
    <xf numFmtId="0" fontId="51" fillId="17" borderId="33" xfId="0" applyFont="1" applyFill="1" applyBorder="1" applyAlignment="1">
      <alignment horizontal="left" wrapText="1" readingOrder="1"/>
    </xf>
    <xf numFmtId="0" fontId="12" fillId="0" borderId="10" xfId="0" applyFont="1" applyFill="1" applyBorder="1" applyAlignment="1">
      <alignment horizontal="left" wrapText="1" indent="2" readingOrder="1"/>
    </xf>
    <xf numFmtId="0" fontId="12" fillId="0" borderId="33" xfId="0" applyFont="1" applyFill="1" applyBorder="1" applyAlignment="1">
      <alignment horizontal="left" wrapText="1" indent="2" readingOrder="1"/>
    </xf>
    <xf numFmtId="0" fontId="12" fillId="0" borderId="1" xfId="0" applyFont="1" applyFill="1" applyBorder="1" applyAlignment="1">
      <alignment horizontal="left" wrapText="1" indent="2" readingOrder="1"/>
    </xf>
    <xf numFmtId="0" fontId="12" fillId="0" borderId="29" xfId="0" applyFont="1" applyFill="1" applyBorder="1" applyAlignment="1">
      <alignment horizontal="left" wrapText="1" indent="2" readingOrder="1"/>
    </xf>
    <xf numFmtId="0" fontId="12" fillId="0" borderId="4" xfId="0" applyFont="1" applyFill="1" applyBorder="1" applyAlignment="1">
      <alignment horizontal="left" wrapText="1" indent="2" readingOrder="1"/>
    </xf>
    <xf numFmtId="0" fontId="51" fillId="17" borderId="12" xfId="0" applyFont="1" applyFill="1" applyBorder="1" applyAlignment="1">
      <alignment horizontal="left" wrapText="1" readingOrder="1"/>
    </xf>
    <xf numFmtId="0" fontId="51" fillId="17" borderId="6" xfId="0" applyFont="1" applyFill="1" applyBorder="1" applyAlignment="1">
      <alignment horizontal="left" wrapText="1" readingOrder="1"/>
    </xf>
    <xf numFmtId="0" fontId="12" fillId="0" borderId="33" xfId="0" applyFont="1" applyFill="1" applyBorder="1" applyAlignment="1">
      <alignment horizontal="left" vertical="center" wrapText="1" indent="2" readingOrder="1"/>
    </xf>
    <xf numFmtId="0" fontId="51" fillId="17" borderId="34" xfId="0" applyFont="1" applyFill="1" applyBorder="1" applyAlignment="1">
      <alignment horizontal="left" wrapText="1" readingOrder="1"/>
    </xf>
    <xf numFmtId="0" fontId="12" fillId="0" borderId="29" xfId="0" applyFont="1" applyFill="1" applyBorder="1" applyAlignment="1">
      <alignment horizontal="center" vertical="center" wrapText="1" readingOrder="1"/>
    </xf>
    <xf numFmtId="0" fontId="12" fillId="0" borderId="28" xfId="0" applyFont="1" applyFill="1" applyBorder="1" applyAlignment="1">
      <alignment horizontal="center" vertical="center" wrapText="1" readingOrder="1"/>
    </xf>
    <xf numFmtId="0" fontId="12" fillId="0" borderId="34" xfId="0" applyFont="1" applyFill="1" applyBorder="1" applyAlignment="1">
      <alignment horizontal="left" vertical="center" wrapText="1" indent="2" readingOrder="1"/>
    </xf>
    <xf numFmtId="0" fontId="12" fillId="0" borderId="1" xfId="0" applyFont="1" applyFill="1" applyBorder="1" applyAlignment="1">
      <alignment horizontal="left" vertical="center" wrapText="1" indent="2" readingOrder="1"/>
    </xf>
    <xf numFmtId="0" fontId="12" fillId="0" borderId="12" xfId="0" applyFont="1" applyFill="1" applyBorder="1" applyAlignment="1">
      <alignment horizontal="left" vertical="center" wrapText="1" indent="2" readingOrder="1"/>
    </xf>
    <xf numFmtId="0" fontId="12" fillId="0" borderId="35" xfId="0" applyFont="1" applyFill="1" applyBorder="1" applyAlignment="1">
      <alignment horizontal="left" vertical="center" wrapText="1" indent="2" readingOrder="1"/>
    </xf>
    <xf numFmtId="0" fontId="12" fillId="0" borderId="12" xfId="0" applyFont="1" applyFill="1" applyBorder="1" applyAlignment="1">
      <alignment horizontal="left" wrapText="1" indent="2" readingOrder="1"/>
    </xf>
    <xf numFmtId="0" fontId="12" fillId="0" borderId="35" xfId="0" applyFont="1" applyFill="1" applyBorder="1" applyAlignment="1">
      <alignment horizontal="left" wrapText="1" indent="2" readingOrder="1"/>
    </xf>
    <xf numFmtId="0" fontId="3" fillId="12" borderId="1" xfId="0" applyFont="1" applyFill="1" applyBorder="1" applyAlignment="1">
      <alignment horizontal="center" wrapText="1" readingOrder="1"/>
    </xf>
    <xf numFmtId="0" fontId="52" fillId="0" borderId="12" xfId="0" applyFont="1" applyFill="1" applyBorder="1" applyAlignment="1">
      <alignment horizontal="left" wrapText="1" readingOrder="1"/>
    </xf>
    <xf numFmtId="0" fontId="52" fillId="0" borderId="32" xfId="0" applyFont="1" applyFill="1" applyBorder="1" applyAlignment="1">
      <alignment horizontal="left" wrapText="1" readingOrder="1"/>
    </xf>
    <xf numFmtId="0" fontId="14" fillId="0" borderId="1" xfId="0" applyFont="1" applyFill="1" applyBorder="1" applyAlignment="1">
      <alignment horizontal="center" vertical="center"/>
    </xf>
    <xf numFmtId="0" fontId="4" fillId="18" borderId="14" xfId="0" applyFont="1" applyFill="1" applyBorder="1" applyAlignment="1">
      <alignment horizontal="center" wrapText="1" readingOrder="1"/>
    </xf>
    <xf numFmtId="0" fontId="4" fillId="18" borderId="0" xfId="0" applyFont="1" applyFill="1" applyBorder="1" applyAlignment="1">
      <alignment horizontal="center" wrapText="1" readingOrder="1"/>
    </xf>
    <xf numFmtId="0" fontId="51" fillId="17" borderId="30" xfId="0" applyFont="1" applyFill="1" applyBorder="1" applyAlignment="1">
      <alignment horizontal="left" wrapText="1" readingOrder="1"/>
    </xf>
    <xf numFmtId="0" fontId="51" fillId="17" borderId="37" xfId="0" applyFont="1" applyFill="1" applyBorder="1" applyAlignment="1">
      <alignment horizontal="left" wrapText="1" readingOrder="1"/>
    </xf>
    <xf numFmtId="0" fontId="51" fillId="17" borderId="23" xfId="0" applyFont="1" applyFill="1" applyBorder="1" applyAlignment="1">
      <alignment horizontal="left" wrapText="1" readingOrder="1"/>
    </xf>
    <xf numFmtId="0" fontId="51" fillId="17" borderId="27" xfId="0" applyFont="1" applyFill="1" applyBorder="1" applyAlignment="1">
      <alignment horizontal="left" wrapText="1" readingOrder="1"/>
    </xf>
    <xf numFmtId="0" fontId="51" fillId="17" borderId="1" xfId="0" applyFont="1" applyFill="1" applyBorder="1" applyAlignment="1">
      <alignment horizontal="left" wrapText="1" readingOrder="1"/>
    </xf>
    <xf numFmtId="0" fontId="51" fillId="17" borderId="38" xfId="0" applyFont="1" applyFill="1" applyBorder="1" applyAlignment="1">
      <alignment horizontal="left" wrapText="1" readingOrder="1"/>
    </xf>
    <xf numFmtId="0" fontId="51" fillId="17" borderId="26" xfId="0" applyFont="1" applyFill="1" applyBorder="1" applyAlignment="1">
      <alignment horizontal="left" wrapText="1" readingOrder="1"/>
    </xf>
    <xf numFmtId="0" fontId="51" fillId="0" borderId="23" xfId="0" applyFont="1" applyFill="1" applyBorder="1" applyAlignment="1">
      <alignment horizontal="left" wrapText="1" readingOrder="1"/>
    </xf>
    <xf numFmtId="0" fontId="51" fillId="0" borderId="27" xfId="0" applyFont="1" applyFill="1" applyBorder="1" applyAlignment="1">
      <alignment horizontal="left" wrapText="1" readingOrder="1"/>
    </xf>
    <xf numFmtId="0" fontId="4" fillId="0" borderId="10" xfId="0" applyFont="1" applyFill="1" applyBorder="1" applyAlignment="1">
      <alignment horizontal="left" wrapText="1" readingOrder="1"/>
    </xf>
    <xf numFmtId="0" fontId="4" fillId="0" borderId="5" xfId="0" applyFont="1" applyFill="1" applyBorder="1" applyAlignment="1">
      <alignment horizontal="left" wrapText="1" readingOrder="1"/>
    </xf>
    <xf numFmtId="0" fontId="58" fillId="0" borderId="10" xfId="0" applyFont="1" applyFill="1" applyBorder="1" applyAlignment="1">
      <alignment horizontal="left" wrapText="1" readingOrder="1"/>
    </xf>
    <xf numFmtId="0" fontId="58" fillId="0" borderId="5" xfId="0" applyFont="1" applyFill="1" applyBorder="1" applyAlignment="1">
      <alignment horizontal="left" wrapText="1" readingOrder="1"/>
    </xf>
    <xf numFmtId="0" fontId="20" fillId="0" borderId="10" xfId="0" applyFont="1" applyFill="1" applyBorder="1" applyAlignment="1">
      <alignment horizontal="left" wrapText="1" readingOrder="1"/>
    </xf>
    <xf numFmtId="0" fontId="20" fillId="0" borderId="5" xfId="0" applyFont="1" applyFill="1" applyBorder="1" applyAlignment="1">
      <alignment horizontal="left" wrapText="1" readingOrder="1"/>
    </xf>
    <xf numFmtId="0" fontId="14" fillId="0" borderId="2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0" fillId="0" borderId="23" xfId="0" applyFont="1" applyFill="1" applyBorder="1" applyAlignment="1">
      <alignment horizontal="left" wrapText="1" readingOrder="1"/>
    </xf>
    <xf numFmtId="0" fontId="20" fillId="0" borderId="27" xfId="0" applyFont="1" applyFill="1" applyBorder="1" applyAlignment="1">
      <alignment horizontal="left" wrapText="1" readingOrder="1"/>
    </xf>
    <xf numFmtId="0" fontId="58" fillId="0" borderId="10" xfId="0" applyFont="1" applyFill="1" applyBorder="1" applyAlignment="1">
      <alignment horizontal="left" vertical="center" wrapText="1" readingOrder="1"/>
    </xf>
    <xf numFmtId="0" fontId="58" fillId="0" borderId="5" xfId="0" applyFont="1" applyFill="1" applyBorder="1" applyAlignment="1">
      <alignment horizontal="left" vertical="center" wrapText="1" readingOrder="1"/>
    </xf>
  </cellXfs>
  <cellStyles count="3">
    <cellStyle name="Normal" xfId="0" builtinId="0"/>
    <cellStyle name="Título 1" xfId="1" builtinId="16"/>
    <cellStyle name="Vírgula" xfId="2" builtinId="3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YLAN~1.LIB/AppData/Local/Temp/7zOAF21.tmp/Planilha%20Or&#231;amento%202020_Even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P/Documentos/SRH/or&#231;amento%20treinamento%202020/Or&#231;amento%20treinamento%202020_23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1 - consolidado"/>
      <sheetName val="Anexo2 - detalhado IN"/>
      <sheetName val="Plan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as prioritários"/>
      <sheetName val="detalhamento_via contratos"/>
      <sheetName val="detalhamento_internos"/>
      <sheetName val="detalhamento_externo"/>
      <sheetName val="unidades"/>
      <sheetName val="ANEXO2 - TREINAMENTO"/>
      <sheetName val="CATSERV treinamentos"/>
      <sheetName val="lista catserv"/>
      <sheetName val="Objetivos Estratégicos"/>
      <sheetName val="ref 2019 pedidos hx$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Código do Item</v>
          </cell>
          <cell r="B2" t="str">
            <v>Descrição</v>
          </cell>
        </row>
        <row r="3">
          <cell r="A3">
            <v>3808</v>
          </cell>
          <cell r="B3" t="str">
            <v>Treinamento na Área de Administração</v>
          </cell>
        </row>
        <row r="4">
          <cell r="A4">
            <v>3816</v>
          </cell>
          <cell r="B4" t="str">
            <v>Treinamento na Área Econômico - Financeira</v>
          </cell>
        </row>
        <row r="5">
          <cell r="A5">
            <v>3824</v>
          </cell>
          <cell r="B5" t="str">
            <v>Treinamento na Área Jurídica</v>
          </cell>
        </row>
        <row r="6">
          <cell r="A6">
            <v>3832</v>
          </cell>
          <cell r="B6" t="str">
            <v>Treinamento na Área de Engenharia</v>
          </cell>
        </row>
        <row r="7">
          <cell r="A7">
            <v>3840</v>
          </cell>
          <cell r="B7" t="str">
            <v>Treinamento Informática - Sistema / Software</v>
          </cell>
        </row>
        <row r="8">
          <cell r="A8">
            <v>3859</v>
          </cell>
          <cell r="B8" t="str">
            <v>Treinamento na Área de Recursos Humanos</v>
          </cell>
        </row>
        <row r="9">
          <cell r="A9">
            <v>3867</v>
          </cell>
          <cell r="B9" t="str">
            <v>Treinamento na Área Comercial</v>
          </cell>
        </row>
        <row r="10">
          <cell r="A10">
            <v>3875</v>
          </cell>
          <cell r="B10" t="str">
            <v>Treinamento na Área de Suprimento</v>
          </cell>
        </row>
        <row r="11">
          <cell r="A11">
            <v>3883</v>
          </cell>
          <cell r="B11" t="str">
            <v>Curso/Treinamento - Idioma Estrangeiro</v>
          </cell>
        </row>
        <row r="12">
          <cell r="A12">
            <v>5339</v>
          </cell>
          <cell r="B12" t="str">
            <v>Treinamento na Área de Meio Ambiente</v>
          </cell>
        </row>
        <row r="13">
          <cell r="A13">
            <v>5347</v>
          </cell>
          <cell r="B13" t="str">
            <v>Treinamento na Área de Qualidade</v>
          </cell>
        </row>
        <row r="14">
          <cell r="A14">
            <v>7935</v>
          </cell>
          <cell r="B14" t="str">
            <v>Tratamento - Amputação Unilateral ou Bilateral (TreinamentoProtético)</v>
          </cell>
        </row>
        <row r="15">
          <cell r="A15">
            <v>12653</v>
          </cell>
          <cell r="B15" t="str">
            <v>Treinamento - Língua Portuguesa</v>
          </cell>
        </row>
        <row r="16">
          <cell r="A16">
            <v>12823</v>
          </cell>
          <cell r="B16" t="str">
            <v>Treinamento / Elaboração de Tesauros / Vocabulário Controla-do</v>
          </cell>
        </row>
        <row r="17">
          <cell r="A17">
            <v>13404</v>
          </cell>
          <cell r="B17" t="str">
            <v>Treinamento de Bombeiro Particular / Brigada Contra Incêndio</v>
          </cell>
        </row>
        <row r="18">
          <cell r="A18">
            <v>13790</v>
          </cell>
          <cell r="B18" t="str">
            <v>Treinamento de Pessoal para Documentação</v>
          </cell>
        </row>
        <row r="19">
          <cell r="A19">
            <v>14702</v>
          </cell>
          <cell r="B19" t="str">
            <v>Curso Equitação</v>
          </cell>
        </row>
        <row r="20">
          <cell r="A20">
            <v>14710</v>
          </cell>
          <cell r="B20" t="str">
            <v>Curso Estabulação</v>
          </cell>
        </row>
        <row r="21">
          <cell r="A21">
            <v>14729</v>
          </cell>
          <cell r="B21" t="str">
            <v>Treinamento na Área de Administração Pública</v>
          </cell>
        </row>
        <row r="22">
          <cell r="A22">
            <v>14745</v>
          </cell>
          <cell r="B22" t="str">
            <v>Curso Formação / Aperfeiçoamento - Vigilante</v>
          </cell>
        </row>
        <row r="23">
          <cell r="A23">
            <v>15024</v>
          </cell>
          <cell r="B23" t="str">
            <v>Curso Oratória / Expressão</v>
          </cell>
        </row>
        <row r="24">
          <cell r="A24">
            <v>15113</v>
          </cell>
          <cell r="B24" t="str">
            <v>Treinamento - Área Artística</v>
          </cell>
        </row>
        <row r="25">
          <cell r="A25">
            <v>15261</v>
          </cell>
          <cell r="B25" t="str">
            <v>Treinamento em Manutenção de Equipamento de Pesquisa / Ensi-no</v>
          </cell>
        </row>
        <row r="26">
          <cell r="A26">
            <v>15334</v>
          </cell>
          <cell r="B26" t="str">
            <v>Agropecuária - Treinamento e Captação de Tecnologia</v>
          </cell>
        </row>
        <row r="27">
          <cell r="A27">
            <v>15431</v>
          </cell>
          <cell r="B27" t="str">
            <v>Curso Profissionalizante</v>
          </cell>
        </row>
        <row r="28">
          <cell r="A28">
            <v>15440</v>
          </cell>
          <cell r="B28" t="str">
            <v>Consultoria e Assessoria - Curso Técnico</v>
          </cell>
        </row>
        <row r="29">
          <cell r="A29">
            <v>15474</v>
          </cell>
          <cell r="B29" t="str">
            <v>Inscrição / Fiscalização Exercício Profissional</v>
          </cell>
        </row>
        <row r="30">
          <cell r="A30">
            <v>15725</v>
          </cell>
          <cell r="B30" t="str">
            <v>Serigrafia - Curso / Impressão</v>
          </cell>
        </row>
        <row r="31">
          <cell r="A31">
            <v>15806</v>
          </cell>
          <cell r="B31" t="str">
            <v>Curso de Artes Plásticas</v>
          </cell>
        </row>
        <row r="32">
          <cell r="A32">
            <v>16250</v>
          </cell>
          <cell r="B32" t="str">
            <v>Treinamento na Área de Ergonomia</v>
          </cell>
        </row>
        <row r="33">
          <cell r="A33">
            <v>16837</v>
          </cell>
          <cell r="B33" t="str">
            <v>Treinamento Informática - Equipamento / Hardware</v>
          </cell>
        </row>
        <row r="34">
          <cell r="A34">
            <v>16845</v>
          </cell>
          <cell r="B34" t="str">
            <v>Treinamento na Área de Eletrônica</v>
          </cell>
        </row>
        <row r="35">
          <cell r="A35">
            <v>17256</v>
          </cell>
          <cell r="B35" t="str">
            <v>Treinamento Informática - Operação / Digitação</v>
          </cell>
        </row>
        <row r="36">
          <cell r="A36">
            <v>17361</v>
          </cell>
          <cell r="B36" t="str">
            <v>Curso Teatro / Teledramaturgia / Cinema</v>
          </cell>
        </row>
        <row r="37">
          <cell r="A37">
            <v>17663</v>
          </cell>
          <cell r="B37" t="str">
            <v>Curso Aperfeiçoamento / Especialização Profissional</v>
          </cell>
        </row>
        <row r="38">
          <cell r="A38">
            <v>17710</v>
          </cell>
          <cell r="B38" t="str">
            <v>Curso / Aperfeiçoamento - Pilotagem de Aeronave</v>
          </cell>
        </row>
        <row r="39">
          <cell r="A39">
            <v>17817</v>
          </cell>
          <cell r="B39" t="str">
            <v>Curso / Aperfeiçoamento - Controlador de Vôo</v>
          </cell>
        </row>
        <row r="40">
          <cell r="A40">
            <v>18031</v>
          </cell>
          <cell r="B40" t="str">
            <v>Treinamento - Área Esportiva</v>
          </cell>
        </row>
        <row r="41">
          <cell r="A41">
            <v>18198</v>
          </cell>
          <cell r="B41" t="str">
            <v>Treinamento / Curso - Armamento e Tiro</v>
          </cell>
        </row>
        <row r="42">
          <cell r="A42">
            <v>18503</v>
          </cell>
          <cell r="B42" t="str">
            <v>Treinamento - Área Instrumentação Eletrônica</v>
          </cell>
        </row>
        <row r="43">
          <cell r="A43">
            <v>18635</v>
          </cell>
          <cell r="B43" t="str">
            <v>Serviço Educacional - Curso Extensão</v>
          </cell>
        </row>
        <row r="44">
          <cell r="A44">
            <v>18651</v>
          </cell>
          <cell r="B44" t="str">
            <v>Treinamento - Área Contábil</v>
          </cell>
        </row>
        <row r="45">
          <cell r="A45">
            <v>18821</v>
          </cell>
          <cell r="B45" t="str">
            <v>Treinamento / Capacitação - Segurança Industrial</v>
          </cell>
        </row>
        <row r="46">
          <cell r="A46">
            <v>19054</v>
          </cell>
          <cell r="B46" t="str">
            <v>Treinamento - Proteção Radiológica / Dosimetria</v>
          </cell>
        </row>
        <row r="47">
          <cell r="A47">
            <v>19321</v>
          </cell>
          <cell r="B47" t="str">
            <v>Curso / Treinamento Educação - Distância</v>
          </cell>
        </row>
        <row r="48">
          <cell r="A48">
            <v>19470</v>
          </cell>
          <cell r="B48" t="str">
            <v>Ensaios Não Destrutivos - Qualificação Pessoal / Treinamento</v>
          </cell>
        </row>
        <row r="49">
          <cell r="A49">
            <v>19577</v>
          </cell>
          <cell r="B49" t="str">
            <v>Treinamento - Área Tributária</v>
          </cell>
        </row>
        <row r="50">
          <cell r="A50">
            <v>19682</v>
          </cell>
          <cell r="B50" t="str">
            <v>Treinamento - Energia</v>
          </cell>
        </row>
        <row r="51">
          <cell r="A51">
            <v>20052</v>
          </cell>
          <cell r="B51" t="str">
            <v>Treinamento - Instalação / Utilização Equipamento</v>
          </cell>
        </row>
        <row r="52">
          <cell r="A52">
            <v>20230</v>
          </cell>
          <cell r="B52" t="str">
            <v>Treinamento Apoio Administrativo</v>
          </cell>
        </row>
        <row r="53">
          <cell r="A53">
            <v>20656</v>
          </cell>
          <cell r="B53" t="str">
            <v>Seminário / Palestra</v>
          </cell>
        </row>
        <row r="54">
          <cell r="A54">
            <v>21172</v>
          </cell>
          <cell r="B54" t="str">
            <v>Treinamento Qualificação Profissional</v>
          </cell>
        </row>
        <row r="55">
          <cell r="A55">
            <v>21180</v>
          </cell>
          <cell r="B55" t="str">
            <v>Treinamento na Área de Liderança</v>
          </cell>
        </row>
        <row r="56">
          <cell r="A56">
            <v>21822</v>
          </cell>
          <cell r="B56" t="str">
            <v>Manutenção / Reforma - Instalação Prevenção Combate Incêndio</v>
          </cell>
        </row>
        <row r="57">
          <cell r="A57">
            <v>22144</v>
          </cell>
          <cell r="B57" t="str">
            <v>Plano Emergencial - Prevenção/Controle Ambiental</v>
          </cell>
        </row>
        <row r="58">
          <cell r="A58">
            <v>22802</v>
          </cell>
          <cell r="B58" t="str">
            <v>Treinamento na Área de Saúde</v>
          </cell>
        </row>
        <row r="59">
          <cell r="A59">
            <v>23043</v>
          </cell>
          <cell r="B59" t="str">
            <v>Curso Autocad</v>
          </cell>
        </row>
        <row r="60">
          <cell r="A60">
            <v>23078</v>
          </cell>
          <cell r="B60" t="str">
            <v>Curso Tratamento / Manutenção Piscina</v>
          </cell>
        </row>
        <row r="61">
          <cell r="A61">
            <v>25186</v>
          </cell>
          <cell r="B61" t="str">
            <v>Treinamento em Fiscalização Aduaneira</v>
          </cell>
        </row>
        <row r="62">
          <cell r="A62">
            <v>25550</v>
          </cell>
          <cell r="B62" t="str">
            <v>Serviços de Prevenção Combate Incêndio / Brigadista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064"/>
  <sheetViews>
    <sheetView zoomScale="50" zoomScaleNormal="50" workbookViewId="0">
      <selection activeCell="F9" sqref="F9"/>
    </sheetView>
  </sheetViews>
  <sheetFormatPr defaultColWidth="14.42578125" defaultRowHeight="15"/>
  <cols>
    <col min="1" max="1" width="72.85546875" style="9" customWidth="1"/>
    <col min="2" max="2" width="37.7109375" style="11" customWidth="1"/>
    <col min="3" max="3" width="46.140625" style="7" customWidth="1"/>
    <col min="4" max="4" width="35" style="13" customWidth="1"/>
    <col min="5" max="5" width="20.140625" style="4" customWidth="1"/>
    <col min="6" max="6" width="30.85546875" style="4" customWidth="1"/>
    <col min="7" max="7" width="21.85546875" style="4" customWidth="1"/>
    <col min="8" max="8" width="21.5703125" style="2" bestFit="1" customWidth="1"/>
    <col min="9" max="9" width="21.7109375" style="2" customWidth="1"/>
    <col min="10" max="10" width="28.140625" style="2" customWidth="1"/>
    <col min="11" max="11" width="24.85546875" style="2" customWidth="1"/>
    <col min="12" max="12" width="29.140625" style="2" customWidth="1"/>
    <col min="13" max="13" width="25.5703125" style="2" customWidth="1"/>
    <col min="14" max="14" width="31.28515625" style="2" customWidth="1"/>
    <col min="15" max="15" width="26.28515625" style="2" customWidth="1"/>
    <col min="16" max="16" width="25.140625" style="2" customWidth="1"/>
    <col min="17" max="17" width="22.85546875" style="2" customWidth="1"/>
    <col min="18" max="18" width="25.7109375" style="2" customWidth="1"/>
    <col min="19" max="19" width="23.140625" style="2" customWidth="1"/>
    <col min="20" max="20" width="19.140625" style="2" customWidth="1"/>
    <col min="21" max="21" width="19.5703125" customWidth="1"/>
    <col min="22" max="22" width="22.85546875" customWidth="1"/>
    <col min="23" max="23" width="19.7109375" customWidth="1"/>
    <col min="24" max="24" width="21.5703125" customWidth="1"/>
  </cols>
  <sheetData>
    <row r="1" spans="1:22" ht="49.5" customHeight="1" thickBot="1">
      <c r="A1" s="652" t="s">
        <v>317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</row>
    <row r="2" spans="1:22" s="16" customFormat="1" ht="30.75" customHeight="1" thickTop="1" thickBot="1">
      <c r="A2" s="488" t="s">
        <v>316</v>
      </c>
      <c r="B2" s="336"/>
      <c r="C2" s="336"/>
      <c r="D2" s="337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9"/>
    </row>
    <row r="3" spans="1:22" s="16" customFormat="1" ht="49.5" customHeight="1" thickTop="1" thickBot="1">
      <c r="A3" s="488" t="s">
        <v>318</v>
      </c>
      <c r="B3" s="336"/>
      <c r="C3" s="336"/>
      <c r="D3" s="337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9"/>
    </row>
    <row r="4" spans="1:22" s="16" customFormat="1" ht="49.5" customHeight="1" thickTop="1">
      <c r="A4" s="334"/>
      <c r="B4" s="336"/>
      <c r="C4" s="336"/>
      <c r="D4" s="337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</row>
    <row r="5" spans="1:22" ht="52.5">
      <c r="A5" s="72" t="s">
        <v>53</v>
      </c>
      <c r="B5" s="338" t="s">
        <v>47</v>
      </c>
      <c r="C5" s="54" t="s">
        <v>48</v>
      </c>
      <c r="D5" s="55" t="s">
        <v>49</v>
      </c>
      <c r="E5" s="54" t="s">
        <v>50</v>
      </c>
      <c r="F5" s="54" t="s">
        <v>51</v>
      </c>
      <c r="G5" s="54" t="s">
        <v>52</v>
      </c>
      <c r="H5" s="49" t="s">
        <v>0</v>
      </c>
      <c r="I5" s="49" t="s">
        <v>1</v>
      </c>
      <c r="J5" s="49" t="s">
        <v>2</v>
      </c>
      <c r="K5" s="49" t="s">
        <v>3</v>
      </c>
      <c r="L5" s="49" t="s">
        <v>4</v>
      </c>
      <c r="M5" s="49" t="s">
        <v>5</v>
      </c>
      <c r="N5" s="49" t="s">
        <v>6</v>
      </c>
      <c r="O5" s="49" t="s">
        <v>7</v>
      </c>
      <c r="P5" s="49" t="s">
        <v>8</v>
      </c>
      <c r="Q5" s="49" t="s">
        <v>9</v>
      </c>
      <c r="R5" s="49" t="s">
        <v>10</v>
      </c>
      <c r="S5" s="49" t="s">
        <v>11</v>
      </c>
      <c r="T5" s="49" t="s">
        <v>12</v>
      </c>
    </row>
    <row r="6" spans="1:22" ht="26.25" customHeight="1">
      <c r="A6" s="52"/>
      <c r="B6" s="53"/>
      <c r="C6" s="54"/>
      <c r="D6" s="81"/>
      <c r="E6" s="82"/>
      <c r="F6" s="82"/>
      <c r="G6" s="82">
        <f>SUM(G7:G13)</f>
        <v>177036.06300000002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2" ht="39.75" customHeight="1">
      <c r="A7" s="75" t="s">
        <v>608</v>
      </c>
      <c r="B7" s="17"/>
      <c r="C7" s="18"/>
      <c r="D7" s="84"/>
      <c r="E7" s="85"/>
      <c r="F7" s="85"/>
      <c r="G7" s="85">
        <v>12559.16</v>
      </c>
      <c r="H7" s="85"/>
      <c r="I7" s="85">
        <v>4186.38</v>
      </c>
      <c r="J7" s="85"/>
      <c r="K7" s="85">
        <v>4186.38</v>
      </c>
      <c r="L7" s="85"/>
      <c r="M7" s="85"/>
      <c r="N7" s="85"/>
      <c r="O7" s="85">
        <v>4186.38</v>
      </c>
      <c r="P7" s="85"/>
      <c r="Q7" s="85"/>
      <c r="R7" s="85"/>
      <c r="S7" s="85"/>
      <c r="T7" s="85"/>
    </row>
    <row r="8" spans="1:22" ht="49.5" customHeight="1">
      <c r="A8" s="75" t="s">
        <v>609</v>
      </c>
      <c r="B8" s="17"/>
      <c r="C8" s="18"/>
      <c r="D8" s="84"/>
      <c r="E8" s="85"/>
      <c r="F8" s="85"/>
      <c r="G8" s="85">
        <v>394.2</v>
      </c>
      <c r="H8" s="85"/>
      <c r="I8" s="85"/>
      <c r="J8" s="85">
        <v>394.2</v>
      </c>
      <c r="K8" s="85"/>
      <c r="L8" s="85"/>
      <c r="M8" s="85"/>
      <c r="N8" s="85"/>
      <c r="O8" s="85"/>
      <c r="P8" s="85"/>
      <c r="Q8" s="85"/>
      <c r="R8" s="85"/>
      <c r="S8" s="85"/>
      <c r="T8" s="85"/>
    </row>
    <row r="9" spans="1:22" ht="41.25" customHeight="1">
      <c r="A9" s="75" t="s">
        <v>610</v>
      </c>
      <c r="B9" s="17"/>
      <c r="C9" s="18"/>
      <c r="D9" s="84"/>
      <c r="E9" s="85"/>
      <c r="F9" s="85"/>
      <c r="G9" s="85">
        <v>359.2</v>
      </c>
      <c r="H9" s="85"/>
      <c r="I9" s="85"/>
      <c r="J9" s="85">
        <v>359.2</v>
      </c>
      <c r="K9" s="85"/>
      <c r="L9" s="85"/>
      <c r="M9" s="85"/>
      <c r="N9" s="85"/>
      <c r="O9" s="85"/>
      <c r="P9" s="85"/>
      <c r="Q9" s="85"/>
      <c r="R9" s="85"/>
      <c r="S9" s="85"/>
      <c r="T9" s="85"/>
    </row>
    <row r="10" spans="1:22" ht="42" customHeight="1">
      <c r="A10" s="75" t="s">
        <v>611</v>
      </c>
      <c r="B10" s="17"/>
      <c r="C10" s="18"/>
      <c r="D10" s="84"/>
      <c r="E10" s="85"/>
      <c r="F10" s="85"/>
      <c r="G10" s="85">
        <v>2831.78</v>
      </c>
      <c r="H10" s="85"/>
      <c r="I10" s="85"/>
      <c r="J10" s="85">
        <v>2831.78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</row>
    <row r="11" spans="1:22" ht="40.5" customHeight="1">
      <c r="A11" s="75" t="s">
        <v>612</v>
      </c>
      <c r="B11" s="17"/>
      <c r="C11" s="18"/>
      <c r="D11" s="84"/>
      <c r="E11" s="85"/>
      <c r="F11" s="85"/>
      <c r="G11" s="85">
        <v>7854</v>
      </c>
      <c r="H11" s="85"/>
      <c r="I11" s="85"/>
      <c r="J11" s="85"/>
      <c r="K11" s="85"/>
      <c r="L11" s="85"/>
      <c r="M11" s="85">
        <v>7854</v>
      </c>
      <c r="N11" s="85"/>
      <c r="O11" s="85"/>
      <c r="P11" s="85"/>
      <c r="Q11" s="85"/>
      <c r="R11" s="85"/>
      <c r="S11" s="85"/>
      <c r="T11" s="85"/>
    </row>
    <row r="12" spans="1:22" ht="30.75" customHeight="1">
      <c r="A12" s="75" t="s">
        <v>613</v>
      </c>
      <c r="B12" s="17"/>
      <c r="C12" s="18"/>
      <c r="D12" s="84"/>
      <c r="E12" s="85"/>
      <c r="F12" s="85"/>
      <c r="G12" s="85">
        <v>91.74</v>
      </c>
      <c r="H12" s="85"/>
      <c r="I12" s="85"/>
      <c r="J12" s="85">
        <v>91.74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</row>
    <row r="13" spans="1:22">
      <c r="A13" s="433" t="s">
        <v>13</v>
      </c>
      <c r="B13" s="434"/>
      <c r="C13" s="435"/>
      <c r="D13" s="436"/>
      <c r="E13" s="437">
        <f>E14+E26+E27+E28+E120+E125+E152+E153+E161+E164+E165+E166+E167+E171+E172+E173+E174+E175+E176+E177+E178+E179+E180+E183+E194</f>
        <v>243727</v>
      </c>
      <c r="F13" s="438"/>
      <c r="G13" s="438">
        <f>G14+G26+G27+G28+G120+G125+G152+G153+G161+G164+G165+G166+G167+G171+G172+G173+G174+G175+G176+G177+G178+G179+G180+G181+G183+G12072</f>
        <v>152945.98300000001</v>
      </c>
      <c r="H13" s="439">
        <f t="shared" ref="H13:S13" si="0">H14+H26+H27+H28+H120+H152+H153+H161+H164+H165+H166+H167+H171+H172+H173+H174+H175+H176+H177+H178+H179+H180+H183+H194</f>
        <v>0</v>
      </c>
      <c r="I13" s="439">
        <f t="shared" si="0"/>
        <v>940</v>
      </c>
      <c r="J13" s="439">
        <f t="shared" si="0"/>
        <v>0</v>
      </c>
      <c r="K13" s="439">
        <f t="shared" si="0"/>
        <v>0</v>
      </c>
      <c r="L13" s="439">
        <f t="shared" si="0"/>
        <v>3397.7</v>
      </c>
      <c r="M13" s="439">
        <f t="shared" si="0"/>
        <v>0</v>
      </c>
      <c r="N13" s="439">
        <f t="shared" si="0"/>
        <v>1545.8</v>
      </c>
      <c r="O13" s="439">
        <f t="shared" si="0"/>
        <v>0</v>
      </c>
      <c r="P13" s="439">
        <f t="shared" si="0"/>
        <v>5873.85</v>
      </c>
      <c r="Q13" s="439">
        <f t="shared" si="0"/>
        <v>41665.360000000001</v>
      </c>
      <c r="R13" s="439">
        <f t="shared" si="0"/>
        <v>0</v>
      </c>
      <c r="S13" s="439">
        <f t="shared" si="0"/>
        <v>0</v>
      </c>
      <c r="T13" s="439">
        <f>SUM(H13:S13)</f>
        <v>53422.71</v>
      </c>
      <c r="U13" s="1"/>
      <c r="V13" s="1"/>
    </row>
    <row r="14" spans="1:22">
      <c r="A14" s="440" t="s">
        <v>14</v>
      </c>
      <c r="B14" s="79"/>
      <c r="C14" s="441"/>
      <c r="D14" s="442"/>
      <c r="E14" s="443">
        <f>SUM(E15:E25)</f>
        <v>1585</v>
      </c>
      <c r="F14" s="86"/>
      <c r="G14" s="443">
        <f t="shared" ref="G14:S14" si="1">SUM(G15:G25)</f>
        <v>15868.662499999999</v>
      </c>
      <c r="H14" s="444">
        <f t="shared" si="1"/>
        <v>0</v>
      </c>
      <c r="I14" s="444">
        <f t="shared" si="1"/>
        <v>940</v>
      </c>
      <c r="J14" s="444">
        <f t="shared" si="1"/>
        <v>0</v>
      </c>
      <c r="K14" s="444">
        <f t="shared" si="1"/>
        <v>0</v>
      </c>
      <c r="L14" s="444">
        <f t="shared" si="1"/>
        <v>3397.7</v>
      </c>
      <c r="M14" s="444">
        <f t="shared" si="1"/>
        <v>0</v>
      </c>
      <c r="N14" s="444">
        <f t="shared" si="1"/>
        <v>1545.8</v>
      </c>
      <c r="O14" s="444">
        <f t="shared" si="1"/>
        <v>0</v>
      </c>
      <c r="P14" s="444">
        <f t="shared" si="1"/>
        <v>5873.85</v>
      </c>
      <c r="Q14" s="444">
        <f t="shared" si="1"/>
        <v>452.53</v>
      </c>
      <c r="R14" s="444">
        <f t="shared" si="1"/>
        <v>0</v>
      </c>
      <c r="S14" s="444">
        <f t="shared" si="1"/>
        <v>0</v>
      </c>
      <c r="T14" s="444">
        <f>SUM(T15:T23)</f>
        <v>8812.18</v>
      </c>
      <c r="U14" s="1"/>
      <c r="V14" s="1"/>
    </row>
    <row r="15" spans="1:22" s="15" customFormat="1" ht="105" customHeight="1">
      <c r="A15" s="19" t="s">
        <v>310</v>
      </c>
      <c r="B15" s="73" t="s">
        <v>315</v>
      </c>
      <c r="C15" s="74" t="s">
        <v>305</v>
      </c>
      <c r="D15" s="87">
        <v>445495</v>
      </c>
      <c r="E15" s="86"/>
      <c r="F15" s="86">
        <v>4.7</v>
      </c>
      <c r="G15" s="86">
        <v>940</v>
      </c>
      <c r="H15" s="88"/>
      <c r="I15" s="89">
        <v>940</v>
      </c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9">
        <f>H15+I15+J15+K15+L15+M15+N15+O15+P15+Q15+R15+S15</f>
        <v>940</v>
      </c>
      <c r="U15" s="14"/>
      <c r="V15" s="14"/>
    </row>
    <row r="16" spans="1:22" ht="78.75" customHeight="1">
      <c r="A16" s="19" t="s">
        <v>15</v>
      </c>
      <c r="B16" s="445" t="s">
        <v>232</v>
      </c>
      <c r="C16" s="74" t="s">
        <v>305</v>
      </c>
      <c r="D16" s="87">
        <v>407523</v>
      </c>
      <c r="E16" s="86">
        <v>50</v>
      </c>
      <c r="F16" s="86">
        <v>7.87</v>
      </c>
      <c r="G16" s="86">
        <f t="shared" ref="G16:G25" si="2">(F16*E16)*1.15</f>
        <v>452.52499999999998</v>
      </c>
      <c r="H16" s="88"/>
      <c r="I16" s="88"/>
      <c r="J16" s="88"/>
      <c r="K16" s="88"/>
      <c r="L16" s="88"/>
      <c r="M16" s="88"/>
      <c r="N16" s="88"/>
      <c r="O16" s="88"/>
      <c r="P16" s="88"/>
      <c r="Q16" s="89">
        <v>452.53</v>
      </c>
      <c r="R16" s="88"/>
      <c r="S16" s="88"/>
      <c r="T16" s="89">
        <f t="shared" ref="T16:T25" si="3">H16+I16+J16+K16+L16+M16+N16+O16+P16+Q16+R16+S16</f>
        <v>452.53</v>
      </c>
      <c r="U16" s="1"/>
      <c r="V16" s="1"/>
    </row>
    <row r="17" spans="1:22" ht="81.75" customHeight="1">
      <c r="A17" s="19" t="s">
        <v>16</v>
      </c>
      <c r="B17" s="445" t="s">
        <v>232</v>
      </c>
      <c r="C17" s="74" t="s">
        <v>305</v>
      </c>
      <c r="D17" s="87">
        <v>407523</v>
      </c>
      <c r="E17" s="86">
        <v>15</v>
      </c>
      <c r="F17" s="86">
        <v>7.87</v>
      </c>
      <c r="G17" s="86">
        <f t="shared" si="2"/>
        <v>135.75749999999999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9">
        <f t="shared" si="3"/>
        <v>0</v>
      </c>
      <c r="U17" s="1"/>
      <c r="V17" s="1"/>
    </row>
    <row r="18" spans="1:22" ht="81.75" customHeight="1">
      <c r="A18" s="19" t="s">
        <v>309</v>
      </c>
      <c r="B18" s="445" t="s">
        <v>233</v>
      </c>
      <c r="C18" s="74" t="s">
        <v>305</v>
      </c>
      <c r="D18" s="87">
        <v>246734</v>
      </c>
      <c r="E18" s="86">
        <v>240</v>
      </c>
      <c r="F18" s="86">
        <v>4.8600000000000003</v>
      </c>
      <c r="G18" s="86">
        <f t="shared" si="2"/>
        <v>1341.36</v>
      </c>
      <c r="H18" s="88"/>
      <c r="I18" s="88"/>
      <c r="J18" s="88"/>
      <c r="K18" s="88"/>
      <c r="L18" s="88"/>
      <c r="M18" s="88"/>
      <c r="N18" s="88"/>
      <c r="O18" s="88"/>
      <c r="P18" s="86">
        <v>1341.36</v>
      </c>
      <c r="Q18" s="88"/>
      <c r="R18" s="88"/>
      <c r="S18" s="88"/>
      <c r="T18" s="89">
        <f t="shared" si="3"/>
        <v>1341.36</v>
      </c>
      <c r="U18" s="1"/>
      <c r="V18" s="1"/>
    </row>
    <row r="19" spans="1:22" s="15" customFormat="1" ht="35.25" customHeight="1">
      <c r="A19" s="76" t="s">
        <v>614</v>
      </c>
      <c r="B19" s="77"/>
      <c r="C19" s="78"/>
      <c r="D19" s="87"/>
      <c r="E19" s="86"/>
      <c r="F19" s="86"/>
      <c r="G19" s="86">
        <v>1545.8</v>
      </c>
      <c r="H19" s="88"/>
      <c r="I19" s="88"/>
      <c r="J19" s="88"/>
      <c r="K19" s="88"/>
      <c r="L19" s="88"/>
      <c r="M19" s="88"/>
      <c r="N19" s="89">
        <v>1545.8</v>
      </c>
      <c r="O19" s="88"/>
      <c r="P19" s="86"/>
      <c r="Q19" s="88"/>
      <c r="R19" s="88"/>
      <c r="S19" s="88"/>
      <c r="T19" s="89">
        <f t="shared" si="3"/>
        <v>1545.8</v>
      </c>
      <c r="U19" s="14"/>
      <c r="V19" s="14"/>
    </row>
    <row r="20" spans="1:22" ht="47.25" customHeight="1">
      <c r="A20" s="19" t="s">
        <v>17</v>
      </c>
      <c r="B20" s="445" t="s">
        <v>234</v>
      </c>
      <c r="C20" s="74" t="s">
        <v>305</v>
      </c>
      <c r="D20" s="87">
        <v>353155</v>
      </c>
      <c r="E20" s="86">
        <v>60</v>
      </c>
      <c r="F20" s="86">
        <v>3.49</v>
      </c>
      <c r="G20" s="86">
        <f t="shared" si="2"/>
        <v>240.80999999999997</v>
      </c>
      <c r="H20" s="88"/>
      <c r="I20" s="88"/>
      <c r="J20" s="88"/>
      <c r="K20" s="88"/>
      <c r="L20" s="88"/>
      <c r="M20" s="88"/>
      <c r="N20" s="88"/>
      <c r="O20" s="88"/>
      <c r="P20" s="89">
        <v>240.81</v>
      </c>
      <c r="Q20" s="88"/>
      <c r="R20" s="88"/>
      <c r="S20" s="88"/>
      <c r="T20" s="89">
        <f t="shared" si="3"/>
        <v>240.81</v>
      </c>
      <c r="U20" s="1"/>
      <c r="V20" s="1"/>
    </row>
    <row r="21" spans="1:22" ht="29.25" customHeight="1">
      <c r="A21" s="19" t="s">
        <v>18</v>
      </c>
      <c r="B21" s="446"/>
      <c r="C21" s="447"/>
      <c r="D21" s="87"/>
      <c r="E21" s="86"/>
      <c r="F21" s="86"/>
      <c r="G21" s="86">
        <f t="shared" si="2"/>
        <v>0</v>
      </c>
      <c r="H21" s="88"/>
      <c r="I21" s="88"/>
      <c r="J21" s="88"/>
      <c r="K21" s="88"/>
      <c r="L21" s="88"/>
      <c r="M21" s="88"/>
      <c r="N21" s="88"/>
      <c r="O21" s="88"/>
      <c r="P21" s="89"/>
      <c r="Q21" s="88"/>
      <c r="R21" s="88"/>
      <c r="S21" s="88"/>
      <c r="T21" s="89">
        <f t="shared" si="3"/>
        <v>0</v>
      </c>
      <c r="U21" s="1"/>
      <c r="V21" s="1"/>
    </row>
    <row r="22" spans="1:22" ht="113.25" customHeight="1">
      <c r="A22" s="19" t="s">
        <v>19</v>
      </c>
      <c r="B22" s="448" t="s">
        <v>168</v>
      </c>
      <c r="C22" s="74" t="s">
        <v>305</v>
      </c>
      <c r="D22" s="87">
        <v>328906</v>
      </c>
      <c r="E22" s="86">
        <v>120</v>
      </c>
      <c r="F22" s="86">
        <v>5.57</v>
      </c>
      <c r="G22" s="86">
        <f t="shared" si="2"/>
        <v>768.66000000000008</v>
      </c>
      <c r="H22" s="88"/>
      <c r="I22" s="88"/>
      <c r="J22" s="88"/>
      <c r="K22" s="88"/>
      <c r="L22" s="88"/>
      <c r="M22" s="88"/>
      <c r="N22" s="88"/>
      <c r="O22" s="88"/>
      <c r="P22" s="89">
        <v>768.66</v>
      </c>
      <c r="Q22" s="88"/>
      <c r="R22" s="88"/>
      <c r="S22" s="88"/>
      <c r="T22" s="89">
        <f t="shared" si="3"/>
        <v>768.66</v>
      </c>
      <c r="U22" s="1"/>
      <c r="V22" s="1"/>
    </row>
    <row r="23" spans="1:22" ht="51.75" customHeight="1">
      <c r="A23" s="19" t="s">
        <v>20</v>
      </c>
      <c r="B23" s="79" t="s">
        <v>168</v>
      </c>
      <c r="C23" s="74" t="s">
        <v>305</v>
      </c>
      <c r="D23" s="87">
        <v>328906</v>
      </c>
      <c r="E23" s="86">
        <v>1100</v>
      </c>
      <c r="F23" s="86">
        <v>5.57</v>
      </c>
      <c r="G23" s="86">
        <f t="shared" si="2"/>
        <v>7046.0499999999993</v>
      </c>
      <c r="H23" s="88"/>
      <c r="I23" s="88"/>
      <c r="J23" s="88"/>
      <c r="K23" s="88"/>
      <c r="L23" s="88"/>
      <c r="M23" s="88"/>
      <c r="N23" s="88"/>
      <c r="O23" s="88"/>
      <c r="P23" s="89">
        <v>3523.02</v>
      </c>
      <c r="Q23" s="88"/>
      <c r="R23" s="88"/>
      <c r="S23" s="88"/>
      <c r="T23" s="89">
        <f t="shared" si="3"/>
        <v>3523.02</v>
      </c>
      <c r="U23" s="1"/>
      <c r="V23" s="1"/>
    </row>
    <row r="24" spans="1:22" s="15" customFormat="1" ht="37.5" customHeight="1">
      <c r="A24" s="76" t="s">
        <v>615</v>
      </c>
      <c r="B24" s="79"/>
      <c r="C24" s="74"/>
      <c r="D24" s="80"/>
      <c r="E24" s="86"/>
      <c r="F24" s="86"/>
      <c r="G24" s="86">
        <v>3397.7</v>
      </c>
      <c r="H24" s="88"/>
      <c r="I24" s="88"/>
      <c r="J24" s="88"/>
      <c r="K24" s="88"/>
      <c r="L24" s="89">
        <v>3397.7</v>
      </c>
      <c r="M24" s="88"/>
      <c r="N24" s="88"/>
      <c r="O24" s="88"/>
      <c r="P24" s="88"/>
      <c r="Q24" s="88"/>
      <c r="R24" s="88"/>
      <c r="S24" s="88"/>
      <c r="T24" s="89">
        <f t="shared" si="3"/>
        <v>3397.7</v>
      </c>
      <c r="U24" s="14"/>
      <c r="V24" s="14"/>
    </row>
    <row r="25" spans="1:22">
      <c r="A25" s="19" t="s">
        <v>46</v>
      </c>
      <c r="B25" s="446"/>
      <c r="C25" s="447"/>
      <c r="D25" s="80"/>
      <c r="E25" s="86"/>
      <c r="F25" s="86"/>
      <c r="G25" s="86">
        <f t="shared" si="2"/>
        <v>0</v>
      </c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9">
        <f t="shared" si="3"/>
        <v>0</v>
      </c>
      <c r="U25" s="1"/>
      <c r="V25" s="1"/>
    </row>
    <row r="26" spans="1:22">
      <c r="A26" s="449" t="s">
        <v>21</v>
      </c>
      <c r="B26" s="79"/>
      <c r="C26" s="450"/>
      <c r="D26" s="442"/>
      <c r="E26" s="86"/>
      <c r="F26" s="86"/>
      <c r="G26" s="86">
        <f t="shared" ref="G26:G27" si="4">F26*E26</f>
        <v>0</v>
      </c>
      <c r="H26" s="444"/>
      <c r="I26" s="444"/>
      <c r="J26" s="444"/>
      <c r="K26" s="444"/>
      <c r="L26" s="444"/>
      <c r="M26" s="444"/>
      <c r="N26" s="444"/>
      <c r="O26" s="444"/>
      <c r="P26" s="444"/>
      <c r="Q26" s="444"/>
      <c r="R26" s="444"/>
      <c r="S26" s="444"/>
      <c r="T26" s="444"/>
      <c r="U26" s="1"/>
      <c r="V26" s="1"/>
    </row>
    <row r="27" spans="1:22">
      <c r="A27" s="449" t="s">
        <v>22</v>
      </c>
      <c r="B27" s="79"/>
      <c r="C27" s="450"/>
      <c r="D27" s="442"/>
      <c r="E27" s="86"/>
      <c r="F27" s="86"/>
      <c r="G27" s="86">
        <f t="shared" si="4"/>
        <v>0</v>
      </c>
      <c r="H27" s="444"/>
      <c r="I27" s="444"/>
      <c r="J27" s="444"/>
      <c r="K27" s="444"/>
      <c r="L27" s="444"/>
      <c r="M27" s="444"/>
      <c r="N27" s="444"/>
      <c r="O27" s="444"/>
      <c r="P27" s="444"/>
      <c r="Q27" s="444"/>
      <c r="R27" s="444"/>
      <c r="S27" s="444"/>
      <c r="T27" s="444"/>
      <c r="U27" s="1"/>
      <c r="V27" s="1"/>
    </row>
    <row r="28" spans="1:22">
      <c r="A28" s="440" t="s">
        <v>62</v>
      </c>
      <c r="B28" s="79"/>
      <c r="C28" s="450"/>
      <c r="D28" s="442"/>
      <c r="E28" s="443">
        <f>SUM(E29:E119)</f>
        <v>17485</v>
      </c>
      <c r="F28" s="86"/>
      <c r="G28" s="443">
        <f>SUM(G29:G119)</f>
        <v>61986.288</v>
      </c>
      <c r="H28" s="444">
        <f t="shared" ref="H28:S28" si="5">SUM(H29:H33)</f>
        <v>0</v>
      </c>
      <c r="I28" s="444">
        <f t="shared" si="5"/>
        <v>0</v>
      </c>
      <c r="J28" s="444">
        <f t="shared" si="5"/>
        <v>0</v>
      </c>
      <c r="K28" s="444">
        <f t="shared" si="5"/>
        <v>0</v>
      </c>
      <c r="L28" s="444">
        <f t="shared" si="5"/>
        <v>0</v>
      </c>
      <c r="M28" s="444">
        <f t="shared" si="5"/>
        <v>0</v>
      </c>
      <c r="N28" s="444">
        <f t="shared" si="5"/>
        <v>0</v>
      </c>
      <c r="O28" s="444">
        <f t="shared" si="5"/>
        <v>0</v>
      </c>
      <c r="P28" s="444">
        <f t="shared" si="5"/>
        <v>0</v>
      </c>
      <c r="Q28" s="444">
        <v>20000</v>
      </c>
      <c r="R28" s="444">
        <f t="shared" si="5"/>
        <v>0</v>
      </c>
      <c r="S28" s="444">
        <f t="shared" si="5"/>
        <v>0</v>
      </c>
      <c r="T28" s="444">
        <f>SUM(T29:T32)</f>
        <v>0</v>
      </c>
      <c r="U28" s="1"/>
      <c r="V28" s="1"/>
    </row>
    <row r="29" spans="1:22" ht="19.5" hidden="1" customHeight="1">
      <c r="A29" s="451" t="s">
        <v>55</v>
      </c>
      <c r="B29" s="452" t="s">
        <v>169</v>
      </c>
      <c r="C29" s="74" t="s">
        <v>305</v>
      </c>
      <c r="D29" s="80">
        <v>411136</v>
      </c>
      <c r="E29" s="86">
        <v>10</v>
      </c>
      <c r="F29" s="86">
        <v>9.4</v>
      </c>
      <c r="G29" s="86">
        <f>(F29*E29)*1.15</f>
        <v>108.1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>
        <f>H29+I29+J29+K29+L29+M29+N29+O29+P29+Q29+R29+S29</f>
        <v>0</v>
      </c>
      <c r="U29" s="1"/>
      <c r="V29" s="1"/>
    </row>
    <row r="30" spans="1:22" ht="24.75" hidden="1" customHeight="1">
      <c r="A30" s="451" t="s">
        <v>56</v>
      </c>
      <c r="B30" s="453" t="s">
        <v>295</v>
      </c>
      <c r="C30" s="74" t="s">
        <v>305</v>
      </c>
      <c r="D30" s="80">
        <v>271593</v>
      </c>
      <c r="E30" s="86">
        <v>10</v>
      </c>
      <c r="F30" s="86">
        <v>77.59</v>
      </c>
      <c r="G30" s="86">
        <f t="shared" ref="G30:G92" si="6">(F30*E30)*1.15</f>
        <v>892.28500000000008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1"/>
      <c r="V30" s="1"/>
    </row>
    <row r="31" spans="1:22" ht="16.5" hidden="1" customHeight="1">
      <c r="A31" s="451" t="s">
        <v>308</v>
      </c>
      <c r="B31" s="454" t="s">
        <v>170</v>
      </c>
      <c r="C31" s="74" t="s">
        <v>305</v>
      </c>
      <c r="D31" s="80">
        <v>204989</v>
      </c>
      <c r="E31" s="86">
        <v>50</v>
      </c>
      <c r="F31" s="86">
        <v>8.33</v>
      </c>
      <c r="G31" s="86">
        <f t="shared" si="6"/>
        <v>478.97499999999997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1"/>
      <c r="V31" s="1"/>
    </row>
    <row r="32" spans="1:22" ht="16.5" hidden="1" customHeight="1">
      <c r="A32" s="451" t="s">
        <v>57</v>
      </c>
      <c r="B32" s="79" t="s">
        <v>171</v>
      </c>
      <c r="C32" s="74" t="s">
        <v>305</v>
      </c>
      <c r="D32" s="80">
        <v>303016</v>
      </c>
      <c r="E32" s="86">
        <v>10</v>
      </c>
      <c r="F32" s="86">
        <v>0.67</v>
      </c>
      <c r="G32" s="86">
        <f t="shared" si="6"/>
        <v>7.7049999999999992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1"/>
      <c r="V32" s="1"/>
    </row>
    <row r="33" spans="1:22" ht="21.75" hidden="1" customHeight="1">
      <c r="A33" s="451" t="s">
        <v>58</v>
      </c>
      <c r="B33" s="79" t="s">
        <v>172</v>
      </c>
      <c r="C33" s="74" t="s">
        <v>305</v>
      </c>
      <c r="D33" s="80">
        <v>206995</v>
      </c>
      <c r="E33" s="86">
        <v>20</v>
      </c>
      <c r="F33" s="86">
        <v>4.0199999999999996</v>
      </c>
      <c r="G33" s="86">
        <f t="shared" si="6"/>
        <v>92.45999999999998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1"/>
      <c r="V33" s="1"/>
    </row>
    <row r="34" spans="1:22" ht="22.5" hidden="1" customHeight="1">
      <c r="A34" s="451" t="s">
        <v>59</v>
      </c>
      <c r="B34" s="79" t="s">
        <v>173</v>
      </c>
      <c r="C34" s="74" t="s">
        <v>305</v>
      </c>
      <c r="D34" s="80">
        <v>373774</v>
      </c>
      <c r="E34" s="86">
        <v>5</v>
      </c>
      <c r="F34" s="86">
        <v>19.91</v>
      </c>
      <c r="G34" s="86">
        <f t="shared" si="6"/>
        <v>114.48249999999999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1"/>
      <c r="V34" s="1"/>
    </row>
    <row r="35" spans="1:22" ht="27.75" hidden="1" customHeight="1">
      <c r="A35" s="451" t="s">
        <v>60</v>
      </c>
      <c r="B35" s="445" t="s">
        <v>209</v>
      </c>
      <c r="C35" s="74" t="s">
        <v>305</v>
      </c>
      <c r="D35" s="80">
        <v>328965</v>
      </c>
      <c r="E35" s="86">
        <v>100</v>
      </c>
      <c r="F35" s="86">
        <v>2.95</v>
      </c>
      <c r="G35" s="86">
        <f t="shared" si="6"/>
        <v>339.25</v>
      </c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1"/>
      <c r="V35" s="1"/>
    </row>
    <row r="36" spans="1:22" ht="21.75" hidden="1" customHeight="1">
      <c r="A36" s="451" t="s">
        <v>61</v>
      </c>
      <c r="B36" s="79" t="s">
        <v>174</v>
      </c>
      <c r="C36" s="74" t="s">
        <v>305</v>
      </c>
      <c r="D36" s="80">
        <v>220986</v>
      </c>
      <c r="E36" s="86">
        <v>2</v>
      </c>
      <c r="F36" s="86">
        <v>83.82</v>
      </c>
      <c r="G36" s="86">
        <f t="shared" si="6"/>
        <v>192.78599999999997</v>
      </c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1"/>
      <c r="V36" s="1"/>
    </row>
    <row r="37" spans="1:22" ht="25.5" hidden="1" customHeight="1">
      <c r="A37" s="451" t="s">
        <v>63</v>
      </c>
      <c r="B37" s="79" t="s">
        <v>175</v>
      </c>
      <c r="C37" s="74" t="s">
        <v>305</v>
      </c>
      <c r="D37" s="80">
        <v>416544</v>
      </c>
      <c r="E37" s="86">
        <v>25</v>
      </c>
      <c r="F37" s="86">
        <v>40.479999999999997</v>
      </c>
      <c r="G37" s="86">
        <f t="shared" si="6"/>
        <v>1163.7999999999997</v>
      </c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1"/>
      <c r="V37" s="1"/>
    </row>
    <row r="38" spans="1:22" ht="23.25" hidden="1" customHeight="1">
      <c r="A38" s="451" t="s">
        <v>64</v>
      </c>
      <c r="B38" s="79" t="s">
        <v>176</v>
      </c>
      <c r="C38" s="74" t="s">
        <v>305</v>
      </c>
      <c r="D38" s="80">
        <v>244441</v>
      </c>
      <c r="E38" s="86">
        <v>20</v>
      </c>
      <c r="F38" s="86">
        <v>0.62</v>
      </c>
      <c r="G38" s="86">
        <f t="shared" si="6"/>
        <v>14.26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1"/>
      <c r="V38" s="1"/>
    </row>
    <row r="39" spans="1:22" ht="22.5" hidden="1" customHeight="1">
      <c r="A39" s="451" t="s">
        <v>160</v>
      </c>
      <c r="B39" s="79" t="s">
        <v>177</v>
      </c>
      <c r="C39" s="74" t="s">
        <v>305</v>
      </c>
      <c r="D39" s="80">
        <v>459378</v>
      </c>
      <c r="E39" s="86">
        <v>3000</v>
      </c>
      <c r="F39" s="86">
        <v>3.29</v>
      </c>
      <c r="G39" s="86">
        <f t="shared" si="6"/>
        <v>11350.5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1"/>
      <c r="V39" s="1"/>
    </row>
    <row r="40" spans="1:22" ht="23.25" hidden="1" customHeight="1">
      <c r="A40" s="451" t="s">
        <v>161</v>
      </c>
      <c r="B40" s="79" t="s">
        <v>178</v>
      </c>
      <c r="C40" s="74" t="s">
        <v>305</v>
      </c>
      <c r="D40" s="80">
        <v>271833</v>
      </c>
      <c r="E40" s="86">
        <v>650</v>
      </c>
      <c r="F40" s="86">
        <v>0.6</v>
      </c>
      <c r="G40" s="86">
        <f t="shared" si="6"/>
        <v>448.49999999999994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1"/>
      <c r="V40" s="1"/>
    </row>
    <row r="41" spans="1:22" ht="24.75" hidden="1" customHeight="1">
      <c r="A41" s="451" t="s">
        <v>162</v>
      </c>
      <c r="B41" s="79" t="s">
        <v>179</v>
      </c>
      <c r="C41" s="74" t="s">
        <v>305</v>
      </c>
      <c r="D41" s="80">
        <v>405991</v>
      </c>
      <c r="E41" s="86">
        <v>2100</v>
      </c>
      <c r="F41" s="86">
        <v>0.57999999999999996</v>
      </c>
      <c r="G41" s="86">
        <f t="shared" si="6"/>
        <v>1400.6999999999998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1"/>
      <c r="V41" s="1"/>
    </row>
    <row r="42" spans="1:22" ht="24.75" hidden="1" customHeight="1">
      <c r="A42" s="451" t="s">
        <v>311</v>
      </c>
      <c r="B42" s="455" t="s">
        <v>312</v>
      </c>
      <c r="C42" s="74" t="s">
        <v>305</v>
      </c>
      <c r="D42" s="80">
        <v>392277</v>
      </c>
      <c r="E42" s="86">
        <v>1500</v>
      </c>
      <c r="F42" s="86">
        <v>0.57999999999999996</v>
      </c>
      <c r="G42" s="86">
        <f t="shared" si="6"/>
        <v>1000.4999999999998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1"/>
      <c r="V42" s="1"/>
    </row>
    <row r="43" spans="1:22" ht="18.75" hidden="1" customHeight="1">
      <c r="A43" s="451" t="s">
        <v>163</v>
      </c>
      <c r="B43" s="79" t="s">
        <v>178</v>
      </c>
      <c r="C43" s="74" t="s">
        <v>305</v>
      </c>
      <c r="D43" s="80">
        <v>336709</v>
      </c>
      <c r="E43" s="86">
        <v>100</v>
      </c>
      <c r="F43" s="86">
        <v>0.61</v>
      </c>
      <c r="G43" s="86">
        <f t="shared" si="6"/>
        <v>70.149999999999991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1"/>
      <c r="V43" s="1"/>
    </row>
    <row r="44" spans="1:22" ht="22.5" hidden="1" customHeight="1">
      <c r="A44" s="451" t="s">
        <v>66</v>
      </c>
      <c r="B44" s="445" t="s">
        <v>197</v>
      </c>
      <c r="C44" s="74" t="s">
        <v>305</v>
      </c>
      <c r="D44" s="80">
        <v>292447</v>
      </c>
      <c r="E44" s="86">
        <v>20</v>
      </c>
      <c r="F44" s="86">
        <v>1.1399999999999999</v>
      </c>
      <c r="G44" s="86">
        <f t="shared" si="6"/>
        <v>26.219999999999995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1"/>
      <c r="V44" s="1"/>
    </row>
    <row r="45" spans="1:22" ht="19.5" hidden="1" customHeight="1">
      <c r="A45" s="451" t="s">
        <v>164</v>
      </c>
      <c r="B45" s="445" t="s">
        <v>198</v>
      </c>
      <c r="C45" s="74" t="s">
        <v>305</v>
      </c>
      <c r="D45" s="80">
        <v>435080</v>
      </c>
      <c r="E45" s="86">
        <v>46</v>
      </c>
      <c r="F45" s="86">
        <v>1.51</v>
      </c>
      <c r="G45" s="86">
        <f t="shared" si="6"/>
        <v>79.878999999999991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1"/>
      <c r="V45" s="1"/>
    </row>
    <row r="46" spans="1:22" ht="21" hidden="1" customHeight="1">
      <c r="A46" s="451" t="s">
        <v>165</v>
      </c>
      <c r="B46" s="445" t="s">
        <v>199</v>
      </c>
      <c r="C46" s="74" t="s">
        <v>305</v>
      </c>
      <c r="D46" s="80">
        <v>459308</v>
      </c>
      <c r="E46" s="86">
        <v>1000</v>
      </c>
      <c r="F46" s="86">
        <v>0.16</v>
      </c>
      <c r="G46" s="86">
        <f t="shared" si="6"/>
        <v>184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1"/>
      <c r="V46" s="1"/>
    </row>
    <row r="47" spans="1:22" ht="21.75" hidden="1" customHeight="1">
      <c r="A47" s="451" t="s">
        <v>166</v>
      </c>
      <c r="B47" s="445" t="s">
        <v>200</v>
      </c>
      <c r="C47" s="74" t="s">
        <v>305</v>
      </c>
      <c r="D47" s="80">
        <v>459357</v>
      </c>
      <c r="E47" s="86">
        <v>100</v>
      </c>
      <c r="F47" s="86">
        <v>0.01</v>
      </c>
      <c r="G47" s="86">
        <f t="shared" si="6"/>
        <v>1.1499999999999999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1"/>
      <c r="V47" s="1"/>
    </row>
    <row r="48" spans="1:22" ht="24" hidden="1" customHeight="1">
      <c r="A48" s="451" t="s">
        <v>69</v>
      </c>
      <c r="B48" s="445" t="s">
        <v>201</v>
      </c>
      <c r="C48" s="74" t="s">
        <v>305</v>
      </c>
      <c r="D48" s="80">
        <v>242606</v>
      </c>
      <c r="E48" s="86">
        <v>10</v>
      </c>
      <c r="F48" s="86">
        <v>3.74</v>
      </c>
      <c r="G48" s="86">
        <f t="shared" si="6"/>
        <v>43.010000000000005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1"/>
      <c r="V48" s="1"/>
    </row>
    <row r="49" spans="1:22" ht="27" hidden="1" customHeight="1">
      <c r="A49" s="456" t="s">
        <v>70</v>
      </c>
      <c r="B49" s="445" t="s">
        <v>202</v>
      </c>
      <c r="C49" s="74" t="s">
        <v>305</v>
      </c>
      <c r="D49" s="80">
        <v>302992</v>
      </c>
      <c r="E49" s="86">
        <v>30</v>
      </c>
      <c r="F49" s="86">
        <v>5.71</v>
      </c>
      <c r="G49" s="86">
        <f t="shared" si="6"/>
        <v>196.995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1"/>
      <c r="V49" s="1"/>
    </row>
    <row r="50" spans="1:22" ht="19.5" hidden="1" customHeight="1">
      <c r="A50" s="457" t="s">
        <v>71</v>
      </c>
      <c r="B50" s="453" t="s">
        <v>289</v>
      </c>
      <c r="C50" s="74" t="s">
        <v>305</v>
      </c>
      <c r="D50" s="80">
        <v>376699</v>
      </c>
      <c r="E50" s="86">
        <v>2</v>
      </c>
      <c r="F50" s="86">
        <v>23.33</v>
      </c>
      <c r="G50" s="86">
        <f t="shared" si="6"/>
        <v>53.658999999999992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1"/>
      <c r="V50" s="1"/>
    </row>
    <row r="51" spans="1:22" ht="22.5" hidden="1" customHeight="1">
      <c r="A51" s="456" t="s">
        <v>72</v>
      </c>
      <c r="B51" s="453" t="s">
        <v>292</v>
      </c>
      <c r="C51" s="74" t="s">
        <v>305</v>
      </c>
      <c r="D51" s="80">
        <v>390769</v>
      </c>
      <c r="E51" s="86">
        <v>4</v>
      </c>
      <c r="F51" s="86">
        <v>21.76</v>
      </c>
      <c r="G51" s="86">
        <f t="shared" si="6"/>
        <v>100.096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1"/>
      <c r="V51" s="1"/>
    </row>
    <row r="52" spans="1:22" ht="23.25" hidden="1" customHeight="1">
      <c r="A52" s="456" t="s">
        <v>73</v>
      </c>
      <c r="B52" s="453" t="s">
        <v>290</v>
      </c>
      <c r="C52" s="74" t="s">
        <v>305</v>
      </c>
      <c r="D52" s="80">
        <v>334644</v>
      </c>
      <c r="E52" s="86">
        <v>5</v>
      </c>
      <c r="F52" s="86">
        <v>18.329999999999998</v>
      </c>
      <c r="G52" s="86">
        <f t="shared" si="6"/>
        <v>105.39749999999998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1"/>
      <c r="V52" s="1"/>
    </row>
    <row r="53" spans="1:22" ht="21" hidden="1" customHeight="1">
      <c r="A53" s="456" t="s">
        <v>74</v>
      </c>
      <c r="B53" s="458" t="s">
        <v>291</v>
      </c>
      <c r="C53" s="74" t="s">
        <v>305</v>
      </c>
      <c r="D53" s="80">
        <v>320962</v>
      </c>
      <c r="E53" s="86">
        <v>5</v>
      </c>
      <c r="F53" s="86">
        <v>22.36</v>
      </c>
      <c r="G53" s="86">
        <f t="shared" si="6"/>
        <v>128.57</v>
      </c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1"/>
      <c r="V53" s="1"/>
    </row>
    <row r="54" spans="1:22" ht="23.25" hidden="1" customHeight="1">
      <c r="A54" s="456" t="s">
        <v>75</v>
      </c>
      <c r="B54" s="453" t="s">
        <v>293</v>
      </c>
      <c r="C54" s="74" t="s">
        <v>305</v>
      </c>
      <c r="D54" s="80">
        <v>282898</v>
      </c>
      <c r="E54" s="86">
        <v>2</v>
      </c>
      <c r="F54" s="86">
        <v>23.5</v>
      </c>
      <c r="G54" s="86">
        <f t="shared" si="6"/>
        <v>54.05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1"/>
      <c r="V54" s="1"/>
    </row>
    <row r="55" spans="1:22" ht="22.5" hidden="1" customHeight="1">
      <c r="A55" s="456" t="s">
        <v>77</v>
      </c>
      <c r="B55" s="453" t="s">
        <v>294</v>
      </c>
      <c r="C55" s="74" t="s">
        <v>305</v>
      </c>
      <c r="D55" s="459">
        <v>327840</v>
      </c>
      <c r="E55" s="86">
        <v>20</v>
      </c>
      <c r="F55" s="86">
        <v>79</v>
      </c>
      <c r="G55" s="86">
        <f t="shared" si="6"/>
        <v>1816.9999999999998</v>
      </c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1"/>
      <c r="V55" s="1"/>
    </row>
    <row r="56" spans="1:22" ht="21.75" hidden="1" customHeight="1">
      <c r="A56" s="456" t="s">
        <v>78</v>
      </c>
      <c r="B56" s="445" t="s">
        <v>203</v>
      </c>
      <c r="C56" s="74" t="s">
        <v>305</v>
      </c>
      <c r="D56" s="80">
        <v>289017</v>
      </c>
      <c r="E56" s="86">
        <v>10</v>
      </c>
      <c r="F56" s="86">
        <v>0.62</v>
      </c>
      <c r="G56" s="86">
        <f t="shared" si="6"/>
        <v>7.13</v>
      </c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1"/>
      <c r="V56" s="1"/>
    </row>
    <row r="57" spans="1:22" ht="24.75" hidden="1" customHeight="1">
      <c r="A57" s="456" t="s">
        <v>79</v>
      </c>
      <c r="B57" s="445" t="s">
        <v>204</v>
      </c>
      <c r="C57" s="74" t="s">
        <v>305</v>
      </c>
      <c r="D57" s="80">
        <v>354709</v>
      </c>
      <c r="E57" s="86">
        <v>100</v>
      </c>
      <c r="F57" s="86">
        <v>2.92</v>
      </c>
      <c r="G57" s="86">
        <f t="shared" si="6"/>
        <v>335.79999999999995</v>
      </c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1"/>
      <c r="V57" s="1"/>
    </row>
    <row r="58" spans="1:22" ht="21.75" hidden="1" customHeight="1">
      <c r="A58" s="456" t="s">
        <v>80</v>
      </c>
      <c r="B58" s="445" t="s">
        <v>205</v>
      </c>
      <c r="C58" s="74" t="s">
        <v>305</v>
      </c>
      <c r="D58" s="80">
        <v>351868</v>
      </c>
      <c r="E58" s="86">
        <v>15</v>
      </c>
      <c r="F58" s="86">
        <v>2.5</v>
      </c>
      <c r="G58" s="86">
        <f t="shared" si="6"/>
        <v>43.125</v>
      </c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1"/>
      <c r="V58" s="1"/>
    </row>
    <row r="59" spans="1:22" ht="27.75" hidden="1" customHeight="1">
      <c r="A59" s="456" t="s">
        <v>81</v>
      </c>
      <c r="B59" s="445" t="s">
        <v>210</v>
      </c>
      <c r="C59" s="74" t="s">
        <v>305</v>
      </c>
      <c r="D59" s="80">
        <v>418299</v>
      </c>
      <c r="E59" s="86">
        <v>5</v>
      </c>
      <c r="F59" s="86">
        <v>73.67</v>
      </c>
      <c r="G59" s="86">
        <f t="shared" si="6"/>
        <v>423.60250000000002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1"/>
      <c r="V59" s="1"/>
    </row>
    <row r="60" spans="1:22" ht="24" hidden="1" customHeight="1">
      <c r="A60" s="456" t="s">
        <v>82</v>
      </c>
      <c r="B60" s="445" t="s">
        <v>211</v>
      </c>
      <c r="C60" s="74" t="s">
        <v>305</v>
      </c>
      <c r="D60" s="80">
        <v>278974</v>
      </c>
      <c r="E60" s="86">
        <v>10</v>
      </c>
      <c r="F60" s="86">
        <v>6.97</v>
      </c>
      <c r="G60" s="86">
        <f t="shared" si="6"/>
        <v>80.155000000000001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1"/>
      <c r="V60" s="1"/>
    </row>
    <row r="61" spans="1:22" ht="24" hidden="1" customHeight="1">
      <c r="A61" s="456" t="s">
        <v>83</v>
      </c>
      <c r="B61" s="445" t="s">
        <v>212</v>
      </c>
      <c r="C61" s="74" t="s">
        <v>305</v>
      </c>
      <c r="D61" s="80">
        <v>279056</v>
      </c>
      <c r="E61" s="86">
        <v>10</v>
      </c>
      <c r="F61" s="86">
        <v>4.78</v>
      </c>
      <c r="G61" s="86">
        <f t="shared" si="6"/>
        <v>54.97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1"/>
      <c r="V61" s="1"/>
    </row>
    <row r="62" spans="1:22" ht="21" hidden="1" customHeight="1">
      <c r="A62" s="456" t="s">
        <v>84</v>
      </c>
      <c r="B62" s="453" t="s">
        <v>287</v>
      </c>
      <c r="C62" s="74" t="s">
        <v>305</v>
      </c>
      <c r="D62" s="80">
        <v>203336</v>
      </c>
      <c r="E62" s="86">
        <v>10</v>
      </c>
      <c r="F62" s="86">
        <v>0.87</v>
      </c>
      <c r="G62" s="86">
        <f t="shared" si="6"/>
        <v>10.004999999999999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1"/>
      <c r="V62" s="1"/>
    </row>
    <row r="63" spans="1:22" ht="23.25" hidden="1" customHeight="1">
      <c r="A63" s="456" t="s">
        <v>85</v>
      </c>
      <c r="B63" s="453" t="s">
        <v>288</v>
      </c>
      <c r="C63" s="74" t="s">
        <v>305</v>
      </c>
      <c r="D63" s="80">
        <v>203344</v>
      </c>
      <c r="E63" s="86">
        <v>30</v>
      </c>
      <c r="F63" s="86">
        <v>0.46</v>
      </c>
      <c r="G63" s="86">
        <f t="shared" si="6"/>
        <v>15.87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1"/>
      <c r="V63" s="1"/>
    </row>
    <row r="64" spans="1:22" ht="23.25" hidden="1" customHeight="1">
      <c r="A64" s="456" t="s">
        <v>86</v>
      </c>
      <c r="B64" s="445" t="s">
        <v>213</v>
      </c>
      <c r="C64" s="74" t="s">
        <v>305</v>
      </c>
      <c r="D64" s="80">
        <v>418508</v>
      </c>
      <c r="E64" s="86">
        <v>2</v>
      </c>
      <c r="F64" s="86">
        <v>99.19</v>
      </c>
      <c r="G64" s="86">
        <f t="shared" si="6"/>
        <v>228.13699999999997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1"/>
      <c r="V64" s="1"/>
    </row>
    <row r="65" spans="1:22" ht="24.75" hidden="1" customHeight="1">
      <c r="A65" s="456" t="s">
        <v>87</v>
      </c>
      <c r="B65" s="445" t="s">
        <v>214</v>
      </c>
      <c r="C65" s="74" t="s">
        <v>305</v>
      </c>
      <c r="D65" s="80">
        <v>405907</v>
      </c>
      <c r="E65" s="86">
        <v>20</v>
      </c>
      <c r="F65" s="86">
        <v>14.83</v>
      </c>
      <c r="G65" s="86">
        <f t="shared" si="6"/>
        <v>341.09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1"/>
      <c r="V65" s="1"/>
    </row>
    <row r="66" spans="1:22" ht="24.75" hidden="1" customHeight="1">
      <c r="A66" s="456" t="s">
        <v>88</v>
      </c>
      <c r="B66" s="445" t="s">
        <v>215</v>
      </c>
      <c r="C66" s="74" t="s">
        <v>305</v>
      </c>
      <c r="D66" s="80">
        <v>331425</v>
      </c>
      <c r="E66" s="86">
        <v>10</v>
      </c>
      <c r="F66" s="86">
        <v>16.52</v>
      </c>
      <c r="G66" s="86">
        <f t="shared" si="6"/>
        <v>189.97999999999996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1"/>
      <c r="V66" s="1"/>
    </row>
    <row r="67" spans="1:22" ht="26.25" hidden="1" customHeight="1">
      <c r="A67" s="456" t="s">
        <v>89</v>
      </c>
      <c r="B67" s="445" t="s">
        <v>216</v>
      </c>
      <c r="C67" s="74" t="s">
        <v>305</v>
      </c>
      <c r="D67" s="80">
        <v>332121</v>
      </c>
      <c r="E67" s="86">
        <v>2</v>
      </c>
      <c r="F67" s="86">
        <v>12</v>
      </c>
      <c r="G67" s="86">
        <f t="shared" si="6"/>
        <v>27.599999999999998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1"/>
      <c r="V67" s="1"/>
    </row>
    <row r="68" spans="1:22" ht="27" hidden="1" customHeight="1">
      <c r="A68" s="456" t="s">
        <v>90</v>
      </c>
      <c r="B68" s="445" t="s">
        <v>217</v>
      </c>
      <c r="C68" s="74" t="s">
        <v>305</v>
      </c>
      <c r="D68" s="80">
        <v>321521</v>
      </c>
      <c r="E68" s="86">
        <v>2</v>
      </c>
      <c r="F68" s="86">
        <v>8</v>
      </c>
      <c r="G68" s="86">
        <f t="shared" si="6"/>
        <v>18.399999999999999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1"/>
      <c r="V68" s="1"/>
    </row>
    <row r="69" spans="1:22" ht="24.75" hidden="1" customHeight="1">
      <c r="A69" s="456" t="s">
        <v>91</v>
      </c>
      <c r="B69" s="445" t="s">
        <v>218</v>
      </c>
      <c r="C69" s="74" t="s">
        <v>305</v>
      </c>
      <c r="D69" s="80">
        <v>203144</v>
      </c>
      <c r="E69" s="86">
        <v>10</v>
      </c>
      <c r="F69" s="86">
        <v>4.0599999999999996</v>
      </c>
      <c r="G69" s="86">
        <f t="shared" si="6"/>
        <v>46.689999999999991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1"/>
      <c r="V69" s="1"/>
    </row>
    <row r="70" spans="1:22" ht="25.5" hidden="1" customHeight="1">
      <c r="A70" s="456" t="s">
        <v>92</v>
      </c>
      <c r="B70" s="445" t="s">
        <v>255</v>
      </c>
      <c r="C70" s="74" t="s">
        <v>305</v>
      </c>
      <c r="D70" s="80">
        <v>417157</v>
      </c>
      <c r="E70" s="86">
        <v>100</v>
      </c>
      <c r="F70" s="86">
        <v>7.08</v>
      </c>
      <c r="G70" s="86">
        <f t="shared" si="6"/>
        <v>814.19999999999993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1"/>
      <c r="V70" s="1"/>
    </row>
    <row r="71" spans="1:22" ht="27" hidden="1" customHeight="1">
      <c r="A71" s="456" t="s">
        <v>94</v>
      </c>
      <c r="B71" s="445" t="s">
        <v>219</v>
      </c>
      <c r="C71" s="74" t="s">
        <v>305</v>
      </c>
      <c r="D71" s="80">
        <v>304324</v>
      </c>
      <c r="E71" s="86">
        <v>200</v>
      </c>
      <c r="F71" s="86">
        <v>0.31</v>
      </c>
      <c r="G71" s="86">
        <f t="shared" si="6"/>
        <v>71.3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1"/>
      <c r="V71" s="1"/>
    </row>
    <row r="72" spans="1:22" ht="24" hidden="1" customHeight="1">
      <c r="A72" s="456" t="s">
        <v>95</v>
      </c>
      <c r="B72" s="445" t="s">
        <v>221</v>
      </c>
      <c r="C72" s="74" t="s">
        <v>305</v>
      </c>
      <c r="D72" s="80">
        <v>289376</v>
      </c>
      <c r="E72" s="86">
        <v>12</v>
      </c>
      <c r="F72" s="86">
        <v>1.88</v>
      </c>
      <c r="G72" s="86">
        <f t="shared" si="6"/>
        <v>25.943999999999996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1"/>
      <c r="V72" s="1"/>
    </row>
    <row r="73" spans="1:22" ht="24" hidden="1" customHeight="1">
      <c r="A73" s="456" t="s">
        <v>96</v>
      </c>
      <c r="B73" s="445" t="s">
        <v>220</v>
      </c>
      <c r="C73" s="74" t="s">
        <v>305</v>
      </c>
      <c r="D73" s="80">
        <v>289375</v>
      </c>
      <c r="E73" s="86">
        <v>36</v>
      </c>
      <c r="F73" s="86">
        <v>4.08</v>
      </c>
      <c r="G73" s="86">
        <f t="shared" si="6"/>
        <v>168.91199999999998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1"/>
      <c r="V73" s="1"/>
    </row>
    <row r="74" spans="1:22" ht="19.5" hidden="1" customHeight="1">
      <c r="A74" s="456" t="s">
        <v>97</v>
      </c>
      <c r="B74" s="445" t="s">
        <v>229</v>
      </c>
      <c r="C74" s="74" t="s">
        <v>305</v>
      </c>
      <c r="D74" s="80">
        <v>357412</v>
      </c>
      <c r="E74" s="86">
        <v>2</v>
      </c>
      <c r="F74" s="86">
        <v>14.12</v>
      </c>
      <c r="G74" s="86">
        <f t="shared" si="6"/>
        <v>32.475999999999999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1"/>
      <c r="V74" s="1"/>
    </row>
    <row r="75" spans="1:22" ht="23.25" hidden="1" customHeight="1">
      <c r="A75" s="456" t="s">
        <v>98</v>
      </c>
      <c r="B75" s="445" t="s">
        <v>256</v>
      </c>
      <c r="C75" s="74" t="s">
        <v>305</v>
      </c>
      <c r="D75" s="80">
        <v>248739</v>
      </c>
      <c r="E75" s="86">
        <v>30</v>
      </c>
      <c r="F75" s="86">
        <v>7.25</v>
      </c>
      <c r="G75" s="86">
        <f t="shared" si="6"/>
        <v>250.12499999999997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1"/>
      <c r="V75" s="1"/>
    </row>
    <row r="76" spans="1:22" ht="25.5" hidden="1" customHeight="1">
      <c r="A76" s="456" t="s">
        <v>100</v>
      </c>
      <c r="B76" s="445" t="s">
        <v>258</v>
      </c>
      <c r="C76" s="74" t="s">
        <v>305</v>
      </c>
      <c r="D76" s="80">
        <v>450345</v>
      </c>
      <c r="E76" s="86">
        <v>10</v>
      </c>
      <c r="F76" s="86">
        <v>22.79</v>
      </c>
      <c r="G76" s="86">
        <f t="shared" si="6"/>
        <v>262.08499999999998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1"/>
      <c r="V76" s="1"/>
    </row>
    <row r="77" spans="1:22" ht="23.25" hidden="1" customHeight="1">
      <c r="A77" s="456" t="s">
        <v>101</v>
      </c>
      <c r="B77" s="445" t="s">
        <v>259</v>
      </c>
      <c r="C77" s="74" t="s">
        <v>305</v>
      </c>
      <c r="D77" s="80">
        <v>450334</v>
      </c>
      <c r="E77" s="86">
        <v>10</v>
      </c>
      <c r="F77" s="86">
        <v>23.41</v>
      </c>
      <c r="G77" s="86">
        <f t="shared" si="6"/>
        <v>269.21499999999997</v>
      </c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1"/>
      <c r="V77" s="1"/>
    </row>
    <row r="78" spans="1:22" ht="25.5" hidden="1" customHeight="1">
      <c r="A78" s="456" t="s">
        <v>102</v>
      </c>
      <c r="B78" s="445" t="s">
        <v>257</v>
      </c>
      <c r="C78" s="74" t="s">
        <v>305</v>
      </c>
      <c r="D78" s="80">
        <v>450346</v>
      </c>
      <c r="E78" s="86">
        <v>20</v>
      </c>
      <c r="F78" s="86">
        <v>21.55</v>
      </c>
      <c r="G78" s="86">
        <f t="shared" si="6"/>
        <v>495.65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1"/>
      <c r="V78" s="1"/>
    </row>
    <row r="79" spans="1:22" ht="23.25" hidden="1" customHeight="1">
      <c r="A79" s="456" t="s">
        <v>103</v>
      </c>
      <c r="B79" s="445" t="s">
        <v>260</v>
      </c>
      <c r="C79" s="74" t="s">
        <v>305</v>
      </c>
      <c r="D79" s="80">
        <v>359043</v>
      </c>
      <c r="E79" s="86">
        <v>24</v>
      </c>
      <c r="F79" s="86">
        <v>12.99</v>
      </c>
      <c r="G79" s="86">
        <f t="shared" si="6"/>
        <v>358.52399999999994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1"/>
      <c r="V79" s="1"/>
    </row>
    <row r="80" spans="1:22" ht="21.75" hidden="1" customHeight="1">
      <c r="A80" s="456" t="s">
        <v>104</v>
      </c>
      <c r="B80" s="445" t="s">
        <v>261</v>
      </c>
      <c r="C80" s="74" t="s">
        <v>305</v>
      </c>
      <c r="D80" s="80">
        <v>339197</v>
      </c>
      <c r="E80" s="86">
        <v>144</v>
      </c>
      <c r="F80" s="86">
        <v>0.98</v>
      </c>
      <c r="G80" s="86">
        <f t="shared" si="6"/>
        <v>162.28799999999998</v>
      </c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1"/>
      <c r="V80" s="1"/>
    </row>
    <row r="81" spans="1:22" ht="22.5" hidden="1" customHeight="1">
      <c r="A81" s="456" t="s">
        <v>105</v>
      </c>
      <c r="B81" s="445" t="s">
        <v>262</v>
      </c>
      <c r="C81" s="74" t="s">
        <v>305</v>
      </c>
      <c r="D81" s="80">
        <v>354762</v>
      </c>
      <c r="E81" s="86">
        <v>72</v>
      </c>
      <c r="F81" s="86">
        <v>0.98</v>
      </c>
      <c r="G81" s="86">
        <f t="shared" si="6"/>
        <v>81.143999999999991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1"/>
      <c r="V81" s="1"/>
    </row>
    <row r="82" spans="1:22" ht="24" hidden="1" customHeight="1">
      <c r="A82" s="456" t="s">
        <v>167</v>
      </c>
      <c r="B82" s="445" t="s">
        <v>265</v>
      </c>
      <c r="C82" s="74" t="s">
        <v>305</v>
      </c>
      <c r="D82" s="80">
        <v>455228</v>
      </c>
      <c r="E82" s="86">
        <v>10</v>
      </c>
      <c r="F82" s="86">
        <v>11.59</v>
      </c>
      <c r="G82" s="86">
        <f t="shared" si="6"/>
        <v>133.285</v>
      </c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1"/>
      <c r="V82" s="1"/>
    </row>
    <row r="83" spans="1:22" ht="22.5" hidden="1" customHeight="1">
      <c r="A83" s="456" t="s">
        <v>106</v>
      </c>
      <c r="B83" s="445" t="s">
        <v>263</v>
      </c>
      <c r="C83" s="74" t="s">
        <v>305</v>
      </c>
      <c r="D83" s="80">
        <v>245461</v>
      </c>
      <c r="E83" s="86">
        <v>40</v>
      </c>
      <c r="F83" s="86">
        <v>1.65</v>
      </c>
      <c r="G83" s="86">
        <f t="shared" si="6"/>
        <v>75.899999999999991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1"/>
      <c r="V83" s="1"/>
    </row>
    <row r="84" spans="1:22" ht="20.25" hidden="1" customHeight="1">
      <c r="A84" s="456" t="s">
        <v>107</v>
      </c>
      <c r="B84" s="460" t="s">
        <v>231</v>
      </c>
      <c r="C84" s="74" t="s">
        <v>305</v>
      </c>
      <c r="D84" s="80">
        <v>230780</v>
      </c>
      <c r="E84" s="86">
        <v>2</v>
      </c>
      <c r="F84" s="86">
        <v>40.28</v>
      </c>
      <c r="G84" s="86">
        <f t="shared" si="6"/>
        <v>92.643999999999991</v>
      </c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1"/>
      <c r="V84" s="1"/>
    </row>
    <row r="85" spans="1:22" ht="22.5" hidden="1" customHeight="1">
      <c r="A85" s="456" t="s">
        <v>108</v>
      </c>
      <c r="B85" s="445" t="s">
        <v>206</v>
      </c>
      <c r="C85" s="74" t="s">
        <v>305</v>
      </c>
      <c r="D85" s="80">
        <v>317127</v>
      </c>
      <c r="E85" s="86">
        <v>1200</v>
      </c>
      <c r="F85" s="86">
        <v>16.149999999999999</v>
      </c>
      <c r="G85" s="86">
        <f t="shared" si="6"/>
        <v>22287</v>
      </c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1"/>
      <c r="V85" s="1"/>
    </row>
    <row r="86" spans="1:22" ht="21" hidden="1" customHeight="1">
      <c r="A86" s="456" t="s">
        <v>109</v>
      </c>
      <c r="B86" s="445" t="s">
        <v>264</v>
      </c>
      <c r="C86" s="74" t="s">
        <v>305</v>
      </c>
      <c r="D86" s="80">
        <v>300701</v>
      </c>
      <c r="E86" s="86">
        <v>4</v>
      </c>
      <c r="F86" s="86">
        <v>84.1</v>
      </c>
      <c r="G86" s="86">
        <f t="shared" si="6"/>
        <v>386.85999999999996</v>
      </c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1"/>
      <c r="V86" s="1"/>
    </row>
    <row r="87" spans="1:22" ht="21" hidden="1" customHeight="1">
      <c r="A87" s="456" t="s">
        <v>110</v>
      </c>
      <c r="B87" s="445" t="s">
        <v>207</v>
      </c>
      <c r="C87" s="74" t="s">
        <v>305</v>
      </c>
      <c r="D87" s="87">
        <v>234734</v>
      </c>
      <c r="E87" s="86">
        <v>100</v>
      </c>
      <c r="F87" s="86">
        <v>0.73</v>
      </c>
      <c r="G87" s="86">
        <f t="shared" si="6"/>
        <v>83.949999999999989</v>
      </c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1"/>
      <c r="V87" s="1"/>
    </row>
    <row r="88" spans="1:22" ht="19.5" hidden="1" customHeight="1">
      <c r="A88" s="456" t="s">
        <v>111</v>
      </c>
      <c r="B88" s="445" t="s">
        <v>266</v>
      </c>
      <c r="C88" s="74" t="s">
        <v>305</v>
      </c>
      <c r="D88" s="80">
        <v>288649</v>
      </c>
      <c r="E88" s="86">
        <v>12</v>
      </c>
      <c r="F88" s="86">
        <v>10.99</v>
      </c>
      <c r="G88" s="86">
        <f t="shared" si="6"/>
        <v>151.66199999999998</v>
      </c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1"/>
      <c r="V88" s="1"/>
    </row>
    <row r="89" spans="1:22" ht="22.5" hidden="1" customHeight="1">
      <c r="A89" s="456" t="s">
        <v>112</v>
      </c>
      <c r="B89" s="445" t="s">
        <v>267</v>
      </c>
      <c r="C89" s="74" t="s">
        <v>305</v>
      </c>
      <c r="D89" s="80">
        <v>285082</v>
      </c>
      <c r="E89" s="86">
        <v>10</v>
      </c>
      <c r="F89" s="86">
        <v>8.49</v>
      </c>
      <c r="G89" s="86">
        <f t="shared" si="6"/>
        <v>97.635000000000005</v>
      </c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1"/>
      <c r="V89" s="1"/>
    </row>
    <row r="90" spans="1:22" ht="21" hidden="1" customHeight="1">
      <c r="A90" s="457" t="s">
        <v>113</v>
      </c>
      <c r="B90" s="445" t="s">
        <v>268</v>
      </c>
      <c r="C90" s="74" t="s">
        <v>305</v>
      </c>
      <c r="D90" s="80">
        <v>338018</v>
      </c>
      <c r="E90" s="86">
        <v>5</v>
      </c>
      <c r="F90" s="86">
        <v>11.92</v>
      </c>
      <c r="G90" s="86">
        <f t="shared" si="6"/>
        <v>68.539999999999992</v>
      </c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1"/>
      <c r="V90" s="1"/>
    </row>
    <row r="91" spans="1:22" ht="18" hidden="1" customHeight="1">
      <c r="A91" s="456" t="s">
        <v>114</v>
      </c>
      <c r="B91" s="445" t="s">
        <v>208</v>
      </c>
      <c r="C91" s="74" t="s">
        <v>305</v>
      </c>
      <c r="D91" s="80">
        <v>359206</v>
      </c>
      <c r="E91" s="86">
        <v>50</v>
      </c>
      <c r="F91" s="86">
        <v>2.4</v>
      </c>
      <c r="G91" s="86">
        <f t="shared" si="6"/>
        <v>138</v>
      </c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1"/>
      <c r="V91" s="1"/>
    </row>
    <row r="92" spans="1:22" ht="18.75" hidden="1" customHeight="1">
      <c r="A92" s="456" t="s">
        <v>115</v>
      </c>
      <c r="B92" s="445" t="s">
        <v>222</v>
      </c>
      <c r="C92" s="74" t="s">
        <v>305</v>
      </c>
      <c r="D92" s="80">
        <v>242018</v>
      </c>
      <c r="E92" s="86">
        <v>300</v>
      </c>
      <c r="F92" s="86">
        <v>2.9</v>
      </c>
      <c r="G92" s="86">
        <f t="shared" si="6"/>
        <v>1000.4999999999999</v>
      </c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1"/>
      <c r="V92" s="1"/>
    </row>
    <row r="93" spans="1:22" ht="21.75" hidden="1" customHeight="1">
      <c r="A93" s="456" t="s">
        <v>116</v>
      </c>
      <c r="B93" s="445" t="s">
        <v>269</v>
      </c>
      <c r="C93" s="74" t="s">
        <v>305</v>
      </c>
      <c r="D93" s="80">
        <v>325622</v>
      </c>
      <c r="E93" s="86">
        <v>20</v>
      </c>
      <c r="F93" s="86">
        <v>0.48</v>
      </c>
      <c r="G93" s="86">
        <f t="shared" ref="G93:G119" si="7">(F93*E93)*1.15</f>
        <v>11.04</v>
      </c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1"/>
      <c r="V93" s="1"/>
    </row>
    <row r="94" spans="1:22" ht="21" hidden="1" customHeight="1">
      <c r="A94" s="456" t="s">
        <v>117</v>
      </c>
      <c r="B94" s="453" t="s">
        <v>296</v>
      </c>
      <c r="C94" s="74" t="s">
        <v>305</v>
      </c>
      <c r="D94" s="80">
        <v>345887</v>
      </c>
      <c r="E94" s="86">
        <v>10</v>
      </c>
      <c r="F94" s="86">
        <v>4.8</v>
      </c>
      <c r="G94" s="86">
        <f t="shared" si="7"/>
        <v>55.199999999999996</v>
      </c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1"/>
      <c r="V94" s="1"/>
    </row>
    <row r="95" spans="1:22" ht="22.5" hidden="1" customHeight="1">
      <c r="A95" s="456" t="s">
        <v>118</v>
      </c>
      <c r="B95" s="453" t="s">
        <v>297</v>
      </c>
      <c r="C95" s="74" t="s">
        <v>305</v>
      </c>
      <c r="D95" s="80">
        <v>352857</v>
      </c>
      <c r="E95" s="86">
        <v>30</v>
      </c>
      <c r="F95" s="86">
        <v>3.17</v>
      </c>
      <c r="G95" s="86">
        <f t="shared" si="7"/>
        <v>109.36499999999998</v>
      </c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1"/>
      <c r="V95" s="1"/>
    </row>
    <row r="96" spans="1:22" ht="20.25" hidden="1" customHeight="1">
      <c r="A96" s="457" t="s">
        <v>119</v>
      </c>
      <c r="B96" s="445" t="s">
        <v>270</v>
      </c>
      <c r="C96" s="74" t="s">
        <v>305</v>
      </c>
      <c r="D96" s="80">
        <v>417239</v>
      </c>
      <c r="E96" s="86">
        <v>5</v>
      </c>
      <c r="F96" s="86">
        <v>14.45</v>
      </c>
      <c r="G96" s="86">
        <f t="shared" si="7"/>
        <v>83.087499999999991</v>
      </c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1"/>
      <c r="V96" s="1"/>
    </row>
    <row r="97" spans="1:22" ht="21.75" hidden="1" customHeight="1">
      <c r="A97" s="456" t="s">
        <v>120</v>
      </c>
      <c r="B97" s="445" t="s">
        <v>237</v>
      </c>
      <c r="C97" s="74" t="s">
        <v>305</v>
      </c>
      <c r="D97" s="80">
        <v>396053</v>
      </c>
      <c r="E97" s="86">
        <v>30</v>
      </c>
      <c r="F97" s="86">
        <v>1.71</v>
      </c>
      <c r="G97" s="86">
        <f t="shared" si="7"/>
        <v>58.99499999999999</v>
      </c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1"/>
      <c r="V97" s="1"/>
    </row>
    <row r="98" spans="1:22" ht="23.25" hidden="1" customHeight="1">
      <c r="A98" s="456" t="s">
        <v>121</v>
      </c>
      <c r="B98" s="445" t="s">
        <v>238</v>
      </c>
      <c r="C98" s="74" t="s">
        <v>305</v>
      </c>
      <c r="D98" s="80">
        <v>239589</v>
      </c>
      <c r="E98" s="86">
        <v>10</v>
      </c>
      <c r="F98" s="86">
        <v>31.73</v>
      </c>
      <c r="G98" s="86">
        <f t="shared" si="7"/>
        <v>364.89499999999998</v>
      </c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1"/>
      <c r="V98" s="1"/>
    </row>
    <row r="99" spans="1:22" ht="20.25" hidden="1" customHeight="1">
      <c r="A99" s="456" t="s">
        <v>122</v>
      </c>
      <c r="B99" s="453" t="s">
        <v>271</v>
      </c>
      <c r="C99" s="74" t="s">
        <v>305</v>
      </c>
      <c r="D99" s="80">
        <v>249681</v>
      </c>
      <c r="E99" s="86">
        <v>4</v>
      </c>
      <c r="F99" s="86">
        <v>72.239999999999995</v>
      </c>
      <c r="G99" s="86">
        <f t="shared" si="7"/>
        <v>332.30399999999997</v>
      </c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1"/>
      <c r="V99" s="1"/>
    </row>
    <row r="100" spans="1:22" ht="23.25" hidden="1" customHeight="1">
      <c r="A100" s="456" t="s">
        <v>123</v>
      </c>
      <c r="B100" s="453" t="s">
        <v>272</v>
      </c>
      <c r="C100" s="74" t="s">
        <v>305</v>
      </c>
      <c r="D100" s="80">
        <v>345055</v>
      </c>
      <c r="E100" s="86">
        <v>5</v>
      </c>
      <c r="F100" s="86">
        <v>3.67</v>
      </c>
      <c r="G100" s="86">
        <f t="shared" si="7"/>
        <v>21.102499999999999</v>
      </c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1"/>
      <c r="V100" s="1"/>
    </row>
    <row r="101" spans="1:22" ht="24.75" hidden="1" customHeight="1">
      <c r="A101" s="456" t="s">
        <v>124</v>
      </c>
      <c r="B101" s="453" t="s">
        <v>273</v>
      </c>
      <c r="C101" s="74" t="s">
        <v>305</v>
      </c>
      <c r="D101" s="80">
        <v>345053</v>
      </c>
      <c r="E101" s="86">
        <v>5</v>
      </c>
      <c r="F101" s="86">
        <v>3.67</v>
      </c>
      <c r="G101" s="86">
        <f t="shared" si="7"/>
        <v>21.102499999999999</v>
      </c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1"/>
      <c r="V101" s="1"/>
    </row>
    <row r="102" spans="1:22" ht="21" hidden="1" customHeight="1">
      <c r="A102" s="456" t="s">
        <v>125</v>
      </c>
      <c r="B102" s="453" t="s">
        <v>274</v>
      </c>
      <c r="C102" s="74" t="s">
        <v>305</v>
      </c>
      <c r="D102" s="80">
        <v>345054</v>
      </c>
      <c r="E102" s="86">
        <v>5</v>
      </c>
      <c r="F102" s="86">
        <v>3.67</v>
      </c>
      <c r="G102" s="86">
        <f t="shared" si="7"/>
        <v>21.102499999999999</v>
      </c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1"/>
      <c r="V102" s="1"/>
    </row>
    <row r="103" spans="1:22" ht="19.5" hidden="1" customHeight="1">
      <c r="A103" s="456" t="s">
        <v>126</v>
      </c>
      <c r="B103" s="453" t="s">
        <v>275</v>
      </c>
      <c r="C103" s="74" t="s">
        <v>305</v>
      </c>
      <c r="D103" s="80">
        <v>432764</v>
      </c>
      <c r="E103" s="86">
        <v>5</v>
      </c>
      <c r="F103" s="86">
        <v>1.26</v>
      </c>
      <c r="G103" s="86">
        <f t="shared" si="7"/>
        <v>7.2449999999999992</v>
      </c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1"/>
      <c r="V103" s="1"/>
    </row>
    <row r="104" spans="1:22" ht="22.5" hidden="1" customHeight="1">
      <c r="A104" s="456" t="s">
        <v>127</v>
      </c>
      <c r="B104" s="453" t="s">
        <v>276</v>
      </c>
      <c r="C104" s="74" t="s">
        <v>305</v>
      </c>
      <c r="D104" s="80">
        <v>352980</v>
      </c>
      <c r="E104" s="86">
        <v>5</v>
      </c>
      <c r="F104" s="86">
        <v>1.26</v>
      </c>
      <c r="G104" s="86">
        <f t="shared" si="7"/>
        <v>7.2449999999999992</v>
      </c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1"/>
      <c r="V104" s="1"/>
    </row>
    <row r="105" spans="1:22" ht="22.5" hidden="1" customHeight="1">
      <c r="A105" s="456" t="s">
        <v>128</v>
      </c>
      <c r="B105" s="453" t="s">
        <v>277</v>
      </c>
      <c r="C105" s="74" t="s">
        <v>305</v>
      </c>
      <c r="D105" s="80">
        <v>283400</v>
      </c>
      <c r="E105" s="86">
        <v>10</v>
      </c>
      <c r="F105" s="86">
        <v>1.26</v>
      </c>
      <c r="G105" s="86">
        <f t="shared" si="7"/>
        <v>14.489999999999998</v>
      </c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1"/>
      <c r="V105" s="1"/>
    </row>
    <row r="106" spans="1:22" ht="19.5" hidden="1" customHeight="1">
      <c r="A106" s="457" t="s">
        <v>129</v>
      </c>
      <c r="B106" s="445" t="s">
        <v>304</v>
      </c>
      <c r="C106" s="74" t="s">
        <v>305</v>
      </c>
      <c r="D106" s="80">
        <v>447157</v>
      </c>
      <c r="E106" s="86">
        <v>100</v>
      </c>
      <c r="F106" s="86">
        <v>0.55000000000000004</v>
      </c>
      <c r="G106" s="86">
        <f t="shared" si="7"/>
        <v>63.25</v>
      </c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1"/>
      <c r="V106" s="1"/>
    </row>
    <row r="107" spans="1:22" ht="20.25" hidden="1" customHeight="1">
      <c r="A107" s="456" t="s">
        <v>130</v>
      </c>
      <c r="B107" s="453" t="s">
        <v>278</v>
      </c>
      <c r="C107" s="74" t="s">
        <v>305</v>
      </c>
      <c r="D107" s="80">
        <v>202541</v>
      </c>
      <c r="E107" s="86">
        <v>10</v>
      </c>
      <c r="F107" s="86">
        <v>9.69</v>
      </c>
      <c r="G107" s="86">
        <f t="shared" si="7"/>
        <v>111.43499999999999</v>
      </c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1"/>
      <c r="V107" s="1"/>
    </row>
    <row r="108" spans="1:22" ht="21" hidden="1" customHeight="1">
      <c r="A108" s="456" t="s">
        <v>131</v>
      </c>
      <c r="B108" s="453" t="s">
        <v>279</v>
      </c>
      <c r="C108" s="74" t="s">
        <v>305</v>
      </c>
      <c r="D108" s="80">
        <v>447926</v>
      </c>
      <c r="E108" s="86">
        <v>700</v>
      </c>
      <c r="F108" s="86">
        <v>2.36</v>
      </c>
      <c r="G108" s="86">
        <f t="shared" si="7"/>
        <v>1899.8</v>
      </c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1"/>
      <c r="V108" s="1"/>
    </row>
    <row r="109" spans="1:22" ht="22.5" hidden="1" customHeight="1">
      <c r="A109" s="456" t="s">
        <v>132</v>
      </c>
      <c r="B109" s="445" t="s">
        <v>239</v>
      </c>
      <c r="C109" s="74" t="s">
        <v>305</v>
      </c>
      <c r="D109" s="80">
        <v>302879</v>
      </c>
      <c r="E109" s="86">
        <v>300</v>
      </c>
      <c r="F109" s="86">
        <v>3.08</v>
      </c>
      <c r="G109" s="86">
        <f t="shared" si="7"/>
        <v>1062.5999999999999</v>
      </c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1"/>
      <c r="V109" s="1"/>
    </row>
    <row r="110" spans="1:22" ht="21.75" hidden="1" customHeight="1">
      <c r="A110" s="456" t="s">
        <v>133</v>
      </c>
      <c r="B110" s="453" t="s">
        <v>280</v>
      </c>
      <c r="C110" s="74" t="s">
        <v>305</v>
      </c>
      <c r="D110" s="80">
        <v>278853</v>
      </c>
      <c r="E110" s="86">
        <v>15</v>
      </c>
      <c r="F110" s="86">
        <v>9.3699999999999992</v>
      </c>
      <c r="G110" s="86">
        <f t="shared" si="7"/>
        <v>161.63249999999996</v>
      </c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1"/>
      <c r="V110" s="1"/>
    </row>
    <row r="111" spans="1:22" ht="24" hidden="1" customHeight="1">
      <c r="A111" s="456" t="s">
        <v>134</v>
      </c>
      <c r="B111" s="445" t="s">
        <v>247</v>
      </c>
      <c r="C111" s="74" t="s">
        <v>305</v>
      </c>
      <c r="D111" s="80">
        <v>390455</v>
      </c>
      <c r="E111" s="86">
        <v>3000</v>
      </c>
      <c r="F111" s="86">
        <v>0.83</v>
      </c>
      <c r="G111" s="86">
        <f t="shared" si="7"/>
        <v>2863.5</v>
      </c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1"/>
      <c r="V111" s="1"/>
    </row>
    <row r="112" spans="1:22" ht="22.5" hidden="1" customHeight="1">
      <c r="A112" s="456" t="s">
        <v>135</v>
      </c>
      <c r="B112" s="453" t="s">
        <v>281</v>
      </c>
      <c r="C112" s="74" t="s">
        <v>305</v>
      </c>
      <c r="D112" s="80">
        <v>451854</v>
      </c>
      <c r="E112" s="86">
        <v>5</v>
      </c>
      <c r="F112" s="86">
        <v>49.95</v>
      </c>
      <c r="G112" s="86">
        <f t="shared" si="7"/>
        <v>287.21249999999998</v>
      </c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1"/>
      <c r="V112" s="1"/>
    </row>
    <row r="113" spans="1:22" ht="26.25" hidden="1" customHeight="1">
      <c r="A113" s="457" t="s">
        <v>136</v>
      </c>
      <c r="B113" s="453" t="s">
        <v>282</v>
      </c>
      <c r="C113" s="74" t="s">
        <v>305</v>
      </c>
      <c r="D113" s="80">
        <v>268496</v>
      </c>
      <c r="E113" s="86">
        <v>5</v>
      </c>
      <c r="F113" s="86">
        <v>127.81</v>
      </c>
      <c r="G113" s="86">
        <f t="shared" si="7"/>
        <v>734.90749999999991</v>
      </c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1"/>
      <c r="V113" s="1"/>
    </row>
    <row r="114" spans="1:22" ht="19.5" hidden="1" customHeight="1">
      <c r="A114" s="456" t="s">
        <v>137</v>
      </c>
      <c r="B114" s="445" t="s">
        <v>240</v>
      </c>
      <c r="C114" s="74" t="s">
        <v>305</v>
      </c>
      <c r="D114" s="80">
        <v>313142</v>
      </c>
      <c r="E114" s="86">
        <v>10</v>
      </c>
      <c r="F114" s="86">
        <v>1.18</v>
      </c>
      <c r="G114" s="86">
        <f t="shared" si="7"/>
        <v>13.569999999999999</v>
      </c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1"/>
      <c r="V114" s="1"/>
    </row>
    <row r="115" spans="1:22" ht="20.25" hidden="1" customHeight="1">
      <c r="A115" s="456" t="s">
        <v>284</v>
      </c>
      <c r="B115" s="453" t="s">
        <v>283</v>
      </c>
      <c r="C115" s="74" t="s">
        <v>305</v>
      </c>
      <c r="D115" s="80">
        <v>204595</v>
      </c>
      <c r="E115" s="86">
        <v>5</v>
      </c>
      <c r="F115" s="86">
        <v>9.43</v>
      </c>
      <c r="G115" s="86">
        <f t="shared" si="7"/>
        <v>54.222499999999997</v>
      </c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1"/>
      <c r="V115" s="1"/>
    </row>
    <row r="116" spans="1:22" ht="21" hidden="1" customHeight="1">
      <c r="A116" s="456" t="s">
        <v>138</v>
      </c>
      <c r="B116" s="453" t="s">
        <v>285</v>
      </c>
      <c r="C116" s="74" t="s">
        <v>305</v>
      </c>
      <c r="D116" s="80">
        <v>249116</v>
      </c>
      <c r="E116" s="86">
        <v>400</v>
      </c>
      <c r="F116" s="86">
        <v>7.71</v>
      </c>
      <c r="G116" s="86">
        <f t="shared" si="7"/>
        <v>3546.6</v>
      </c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1"/>
      <c r="V116" s="1"/>
    </row>
    <row r="117" spans="1:22" ht="23.25" hidden="1" customHeight="1">
      <c r="A117" s="457" t="s">
        <v>139</v>
      </c>
      <c r="B117" s="445" t="s">
        <v>223</v>
      </c>
      <c r="C117" s="74" t="s">
        <v>305</v>
      </c>
      <c r="D117" s="80">
        <v>435872</v>
      </c>
      <c r="E117" s="86">
        <v>1300</v>
      </c>
      <c r="F117" s="86">
        <v>0.13489999999999999</v>
      </c>
      <c r="G117" s="86">
        <f t="shared" si="7"/>
        <v>201.67549999999997</v>
      </c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1"/>
      <c r="V117" s="1"/>
    </row>
    <row r="118" spans="1:22" ht="24" hidden="1" customHeight="1">
      <c r="A118" s="456" t="s">
        <v>140</v>
      </c>
      <c r="B118" s="461" t="s">
        <v>242</v>
      </c>
      <c r="C118" s="74" t="s">
        <v>305</v>
      </c>
      <c r="D118" s="80">
        <v>376266</v>
      </c>
      <c r="E118" s="86">
        <v>10</v>
      </c>
      <c r="F118" s="86">
        <v>5.58</v>
      </c>
      <c r="G118" s="86">
        <f t="shared" si="7"/>
        <v>64.169999999999987</v>
      </c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1"/>
      <c r="V118" s="1"/>
    </row>
    <row r="119" spans="1:22" ht="21" hidden="1" customHeight="1">
      <c r="A119" s="456" t="s">
        <v>141</v>
      </c>
      <c r="B119" s="453" t="s">
        <v>286</v>
      </c>
      <c r="C119" s="74" t="s">
        <v>180</v>
      </c>
      <c r="D119" s="80">
        <v>307745</v>
      </c>
      <c r="E119" s="86">
        <v>6</v>
      </c>
      <c r="F119" s="86">
        <v>2.85</v>
      </c>
      <c r="G119" s="86">
        <f t="shared" si="7"/>
        <v>19.664999999999999</v>
      </c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1"/>
      <c r="V119" s="1"/>
    </row>
    <row r="120" spans="1:22">
      <c r="A120" s="440" t="s">
        <v>181</v>
      </c>
      <c r="B120" s="79"/>
      <c r="C120" s="450"/>
      <c r="D120" s="442"/>
      <c r="E120" s="443">
        <f>SUM(E121:E124)</f>
        <v>700</v>
      </c>
      <c r="F120" s="86"/>
      <c r="G120" s="443">
        <f>SUM(G121:G124)</f>
        <v>5462.4999999999991</v>
      </c>
      <c r="H120" s="444">
        <f t="shared" ref="H120" si="8">SUM(H121:H152)</f>
        <v>0</v>
      </c>
      <c r="I120" s="444">
        <f t="shared" ref="I120" si="9">SUM(I121:I152)</f>
        <v>0</v>
      </c>
      <c r="J120" s="444">
        <f t="shared" ref="J120" si="10">SUM(J121:J152)</f>
        <v>0</v>
      </c>
      <c r="K120" s="444">
        <f t="shared" ref="K120" si="11">SUM(K121:K152)</f>
        <v>0</v>
      </c>
      <c r="L120" s="444">
        <f t="shared" ref="L120" si="12">SUM(L121:L152)</f>
        <v>0</v>
      </c>
      <c r="M120" s="444">
        <f t="shared" ref="M120" si="13">SUM(M121:M152)</f>
        <v>0</v>
      </c>
      <c r="N120" s="444">
        <f t="shared" ref="N120" si="14">SUM(N121:N152)</f>
        <v>0</v>
      </c>
      <c r="O120" s="444">
        <f t="shared" ref="O120" si="15">SUM(O121:O152)</f>
        <v>0</v>
      </c>
      <c r="P120" s="444">
        <f t="shared" ref="P120" si="16">SUM(P121:P152)</f>
        <v>0</v>
      </c>
      <c r="Q120" s="444">
        <v>2500</v>
      </c>
      <c r="R120" s="444">
        <f t="shared" ref="R120" si="17">SUM(R121:R152)</f>
        <v>0</v>
      </c>
      <c r="S120" s="444">
        <f t="shared" ref="S120" si="18">SUM(S121:S152)</f>
        <v>0</v>
      </c>
      <c r="T120" s="444">
        <f>SUM(T121:T124)</f>
        <v>0</v>
      </c>
      <c r="U120" s="1"/>
      <c r="V120" s="1"/>
    </row>
    <row r="121" spans="1:22" ht="19.5" hidden="1" customHeight="1">
      <c r="A121" s="456" t="s">
        <v>148</v>
      </c>
      <c r="B121" s="445" t="s">
        <v>207</v>
      </c>
      <c r="C121" s="74" t="s">
        <v>180</v>
      </c>
      <c r="D121" s="80">
        <v>234734</v>
      </c>
      <c r="E121" s="86">
        <v>250</v>
      </c>
      <c r="F121" s="86">
        <v>0.73</v>
      </c>
      <c r="G121" s="86">
        <f>(F121*E121)*1.15</f>
        <v>209.87499999999997</v>
      </c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>
        <f>H121+I121+J121+K121+L121+M121+N121+O121+P121+Q121+R121+S121</f>
        <v>0</v>
      </c>
      <c r="U121" s="1"/>
      <c r="V121" s="1"/>
    </row>
    <row r="122" spans="1:22" ht="21" hidden="1" customHeight="1">
      <c r="A122" s="456" t="s">
        <v>149</v>
      </c>
      <c r="B122" s="445" t="s">
        <v>222</v>
      </c>
      <c r="C122" s="74" t="s">
        <v>180</v>
      </c>
      <c r="D122" s="80">
        <v>242018</v>
      </c>
      <c r="E122" s="86">
        <v>100</v>
      </c>
      <c r="F122" s="86">
        <v>2.9</v>
      </c>
      <c r="G122" s="86">
        <f t="shared" ref="G122:G124" si="19">(F122*E122)*1.15</f>
        <v>333.5</v>
      </c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1"/>
      <c r="V122" s="1"/>
    </row>
    <row r="123" spans="1:22" ht="16.5" hidden="1" customHeight="1">
      <c r="A123" s="456" t="s">
        <v>150</v>
      </c>
      <c r="B123" s="445" t="s">
        <v>208</v>
      </c>
      <c r="C123" s="74" t="s">
        <v>180</v>
      </c>
      <c r="D123" s="80">
        <v>359206</v>
      </c>
      <c r="E123" s="86">
        <v>100</v>
      </c>
      <c r="F123" s="86">
        <v>2.4</v>
      </c>
      <c r="G123" s="86">
        <f t="shared" si="19"/>
        <v>276</v>
      </c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1"/>
      <c r="V123" s="1"/>
    </row>
    <row r="124" spans="1:22" ht="16.5" hidden="1" customHeight="1">
      <c r="A124" s="456" t="s">
        <v>108</v>
      </c>
      <c r="B124" s="445" t="s">
        <v>206</v>
      </c>
      <c r="C124" s="74" t="s">
        <v>180</v>
      </c>
      <c r="D124" s="80">
        <v>317127</v>
      </c>
      <c r="E124" s="86">
        <v>250</v>
      </c>
      <c r="F124" s="86">
        <v>16.149999999999999</v>
      </c>
      <c r="G124" s="86">
        <f t="shared" si="19"/>
        <v>4643.1249999999991</v>
      </c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1"/>
      <c r="V124" s="1"/>
    </row>
    <row r="125" spans="1:22">
      <c r="A125" s="440" t="s">
        <v>182</v>
      </c>
      <c r="B125" s="79"/>
      <c r="C125" s="450"/>
      <c r="D125" s="442"/>
      <c r="E125" s="443">
        <f>SUM(E126:E151)</f>
        <v>478</v>
      </c>
      <c r="F125" s="86"/>
      <c r="G125" s="443">
        <f>SUM(G126:G151)</f>
        <v>2036.5119999999995</v>
      </c>
      <c r="H125" s="444">
        <f t="shared" ref="H125:S125" si="20">SUM(H152:H161)</f>
        <v>0</v>
      </c>
      <c r="I125" s="444">
        <f t="shared" si="20"/>
        <v>0</v>
      </c>
      <c r="J125" s="444">
        <f t="shared" si="20"/>
        <v>0</v>
      </c>
      <c r="K125" s="444">
        <f t="shared" si="20"/>
        <v>0</v>
      </c>
      <c r="L125" s="444">
        <f t="shared" si="20"/>
        <v>0</v>
      </c>
      <c r="M125" s="444">
        <f t="shared" si="20"/>
        <v>0</v>
      </c>
      <c r="N125" s="444">
        <f t="shared" si="20"/>
        <v>0</v>
      </c>
      <c r="O125" s="444">
        <f t="shared" si="20"/>
        <v>0</v>
      </c>
      <c r="P125" s="444">
        <f t="shared" si="20"/>
        <v>0</v>
      </c>
      <c r="Q125" s="444">
        <v>1000</v>
      </c>
      <c r="R125" s="444">
        <f t="shared" si="20"/>
        <v>0</v>
      </c>
      <c r="S125" s="444">
        <f t="shared" si="20"/>
        <v>0</v>
      </c>
      <c r="T125" s="444">
        <f>SUM(T152:T156)</f>
        <v>0</v>
      </c>
      <c r="U125" s="1"/>
      <c r="V125" s="1"/>
    </row>
    <row r="126" spans="1:22" ht="23.25" hidden="1" customHeight="1">
      <c r="A126" s="456" t="s">
        <v>57</v>
      </c>
      <c r="B126" s="462" t="s">
        <v>171</v>
      </c>
      <c r="C126" s="74" t="s">
        <v>180</v>
      </c>
      <c r="D126" s="463">
        <v>303016</v>
      </c>
      <c r="E126" s="86">
        <v>5</v>
      </c>
      <c r="F126" s="86">
        <v>0.67</v>
      </c>
      <c r="G126" s="86">
        <f t="shared" ref="G126:G151" si="21">(F126*E126)*1.15</f>
        <v>3.8524999999999996</v>
      </c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4"/>
      <c r="U126" s="1"/>
      <c r="V126" s="1"/>
    </row>
    <row r="127" spans="1:22" ht="21.75" hidden="1" customHeight="1">
      <c r="A127" s="456" t="s">
        <v>65</v>
      </c>
      <c r="B127" s="464" t="s">
        <v>174</v>
      </c>
      <c r="C127" s="74" t="s">
        <v>180</v>
      </c>
      <c r="D127" s="80">
        <v>220986</v>
      </c>
      <c r="E127" s="86">
        <v>2</v>
      </c>
      <c r="F127" s="86">
        <v>83.82</v>
      </c>
      <c r="G127" s="86">
        <f t="shared" si="21"/>
        <v>192.78599999999997</v>
      </c>
      <c r="H127" s="444"/>
      <c r="I127" s="444"/>
      <c r="J127" s="444"/>
      <c r="K127" s="444"/>
      <c r="L127" s="444"/>
      <c r="M127" s="444"/>
      <c r="N127" s="444"/>
      <c r="O127" s="444"/>
      <c r="P127" s="444"/>
      <c r="Q127" s="444"/>
      <c r="R127" s="444"/>
      <c r="S127" s="444"/>
      <c r="T127" s="444"/>
      <c r="U127" s="1"/>
      <c r="V127" s="1"/>
    </row>
    <row r="128" spans="1:22" ht="19.5" hidden="1" customHeight="1">
      <c r="A128" s="456" t="s">
        <v>298</v>
      </c>
      <c r="B128" s="460" t="s">
        <v>299</v>
      </c>
      <c r="C128" s="74" t="s">
        <v>180</v>
      </c>
      <c r="D128" s="465" t="s">
        <v>300</v>
      </c>
      <c r="E128" s="86">
        <v>5</v>
      </c>
      <c r="F128" s="86">
        <v>6</v>
      </c>
      <c r="G128" s="86">
        <f t="shared" si="21"/>
        <v>34.5</v>
      </c>
      <c r="H128" s="444"/>
      <c r="I128" s="444"/>
      <c r="J128" s="444"/>
      <c r="K128" s="444"/>
      <c r="L128" s="444"/>
      <c r="M128" s="444"/>
      <c r="N128" s="444"/>
      <c r="O128" s="444"/>
      <c r="P128" s="444"/>
      <c r="Q128" s="444"/>
      <c r="R128" s="444"/>
      <c r="S128" s="444"/>
      <c r="T128" s="444"/>
      <c r="U128" s="1"/>
      <c r="V128" s="1"/>
    </row>
    <row r="129" spans="1:22" ht="21" hidden="1" customHeight="1">
      <c r="A129" s="456" t="s">
        <v>153</v>
      </c>
      <c r="B129" s="445" t="s">
        <v>301</v>
      </c>
      <c r="C129" s="74" t="s">
        <v>180</v>
      </c>
      <c r="D129" s="80">
        <v>401242</v>
      </c>
      <c r="E129" s="86">
        <v>5</v>
      </c>
      <c r="F129" s="86">
        <v>15</v>
      </c>
      <c r="G129" s="86">
        <f t="shared" si="21"/>
        <v>86.25</v>
      </c>
      <c r="H129" s="444"/>
      <c r="I129" s="444"/>
      <c r="J129" s="444"/>
      <c r="K129" s="444"/>
      <c r="L129" s="444"/>
      <c r="M129" s="444"/>
      <c r="N129" s="444"/>
      <c r="O129" s="444"/>
      <c r="P129" s="444"/>
      <c r="Q129" s="444"/>
      <c r="R129" s="444"/>
      <c r="S129" s="444"/>
      <c r="T129" s="444"/>
      <c r="U129" s="1"/>
      <c r="V129" s="1"/>
    </row>
    <row r="130" spans="1:22" ht="24" hidden="1" customHeight="1">
      <c r="A130" s="456" t="s">
        <v>66</v>
      </c>
      <c r="B130" s="466" t="s">
        <v>197</v>
      </c>
      <c r="C130" s="74" t="s">
        <v>180</v>
      </c>
      <c r="D130" s="80">
        <v>292447</v>
      </c>
      <c r="E130" s="86">
        <v>11</v>
      </c>
      <c r="F130" s="86">
        <v>1.1399999999999999</v>
      </c>
      <c r="G130" s="86">
        <f t="shared" si="21"/>
        <v>14.420999999999998</v>
      </c>
      <c r="H130" s="444"/>
      <c r="I130" s="444"/>
      <c r="J130" s="444"/>
      <c r="K130" s="444"/>
      <c r="L130" s="444"/>
      <c r="M130" s="444"/>
      <c r="N130" s="444"/>
      <c r="O130" s="444"/>
      <c r="P130" s="444"/>
      <c r="Q130" s="444"/>
      <c r="R130" s="444"/>
      <c r="S130" s="444"/>
      <c r="T130" s="444"/>
      <c r="U130" s="1"/>
      <c r="V130" s="1"/>
    </row>
    <row r="131" spans="1:22" ht="19.5" hidden="1" customHeight="1">
      <c r="A131" s="456" t="s">
        <v>67</v>
      </c>
      <c r="B131" s="466" t="s">
        <v>198</v>
      </c>
      <c r="C131" s="74" t="s">
        <v>180</v>
      </c>
      <c r="D131" s="80">
        <v>435080</v>
      </c>
      <c r="E131" s="86">
        <v>1</v>
      </c>
      <c r="F131" s="86">
        <v>1.51</v>
      </c>
      <c r="G131" s="86">
        <f t="shared" si="21"/>
        <v>1.7364999999999999</v>
      </c>
      <c r="H131" s="444"/>
      <c r="I131" s="444"/>
      <c r="J131" s="444"/>
      <c r="K131" s="444"/>
      <c r="L131" s="444"/>
      <c r="M131" s="444"/>
      <c r="N131" s="444"/>
      <c r="O131" s="444"/>
      <c r="P131" s="444"/>
      <c r="Q131" s="444"/>
      <c r="R131" s="444"/>
      <c r="S131" s="444"/>
      <c r="T131" s="444"/>
      <c r="U131" s="1"/>
      <c r="V131" s="1"/>
    </row>
    <row r="132" spans="1:22" ht="23.25" hidden="1" customHeight="1">
      <c r="A132" s="456" t="s">
        <v>68</v>
      </c>
      <c r="B132" s="445" t="s">
        <v>224</v>
      </c>
      <c r="C132" s="74" t="s">
        <v>180</v>
      </c>
      <c r="D132" s="80">
        <v>314892</v>
      </c>
      <c r="E132" s="86">
        <v>3</v>
      </c>
      <c r="F132" s="86">
        <v>1.1599999999999999</v>
      </c>
      <c r="G132" s="86">
        <f t="shared" si="21"/>
        <v>4.0019999999999989</v>
      </c>
      <c r="H132" s="444"/>
      <c r="I132" s="444"/>
      <c r="J132" s="444"/>
      <c r="K132" s="444"/>
      <c r="L132" s="444"/>
      <c r="M132" s="444"/>
      <c r="N132" s="444"/>
      <c r="O132" s="444"/>
      <c r="P132" s="444"/>
      <c r="Q132" s="444"/>
      <c r="R132" s="444"/>
      <c r="S132" s="444"/>
      <c r="T132" s="444"/>
      <c r="U132" s="1"/>
      <c r="V132" s="1"/>
    </row>
    <row r="133" spans="1:22" ht="24.75" hidden="1" customHeight="1">
      <c r="A133" s="456" t="s">
        <v>154</v>
      </c>
      <c r="B133" s="445" t="s">
        <v>225</v>
      </c>
      <c r="C133" s="74" t="s">
        <v>180</v>
      </c>
      <c r="D133" s="80">
        <v>391358</v>
      </c>
      <c r="E133" s="86">
        <v>2</v>
      </c>
      <c r="F133" s="86">
        <v>45.8</v>
      </c>
      <c r="G133" s="86">
        <f t="shared" si="21"/>
        <v>105.33999999999999</v>
      </c>
      <c r="H133" s="444"/>
      <c r="I133" s="444"/>
      <c r="J133" s="444"/>
      <c r="K133" s="444"/>
      <c r="L133" s="444"/>
      <c r="M133" s="444"/>
      <c r="N133" s="444"/>
      <c r="O133" s="444"/>
      <c r="P133" s="444"/>
      <c r="Q133" s="444"/>
      <c r="R133" s="444"/>
      <c r="S133" s="444"/>
      <c r="T133" s="444"/>
      <c r="U133" s="1"/>
      <c r="V133" s="1"/>
    </row>
    <row r="134" spans="1:22" ht="21.75" hidden="1" customHeight="1">
      <c r="A134" s="456" t="s">
        <v>76</v>
      </c>
      <c r="B134" s="445" t="s">
        <v>226</v>
      </c>
      <c r="C134" s="74" t="s">
        <v>180</v>
      </c>
      <c r="D134" s="80">
        <v>429012</v>
      </c>
      <c r="E134" s="86">
        <v>6</v>
      </c>
      <c r="F134" s="86">
        <v>1.35</v>
      </c>
      <c r="G134" s="86">
        <f t="shared" si="21"/>
        <v>9.3150000000000013</v>
      </c>
      <c r="H134" s="444"/>
      <c r="I134" s="444"/>
      <c r="J134" s="444"/>
      <c r="K134" s="444"/>
      <c r="L134" s="444"/>
      <c r="M134" s="444"/>
      <c r="N134" s="444"/>
      <c r="O134" s="444"/>
      <c r="P134" s="444"/>
      <c r="Q134" s="444"/>
      <c r="R134" s="444"/>
      <c r="S134" s="444"/>
      <c r="T134" s="444"/>
      <c r="U134" s="1"/>
      <c r="V134" s="1"/>
    </row>
    <row r="135" spans="1:22" ht="21" hidden="1" customHeight="1">
      <c r="A135" s="456" t="s">
        <v>78</v>
      </c>
      <c r="B135" s="466" t="s">
        <v>203</v>
      </c>
      <c r="C135" s="74" t="s">
        <v>180</v>
      </c>
      <c r="D135" s="80">
        <v>289017</v>
      </c>
      <c r="E135" s="86">
        <v>11</v>
      </c>
      <c r="F135" s="86">
        <v>0.62</v>
      </c>
      <c r="G135" s="86">
        <f t="shared" si="21"/>
        <v>7.843</v>
      </c>
      <c r="H135" s="444"/>
      <c r="I135" s="444"/>
      <c r="J135" s="444"/>
      <c r="K135" s="444"/>
      <c r="L135" s="444"/>
      <c r="M135" s="444"/>
      <c r="N135" s="444"/>
      <c r="O135" s="444"/>
      <c r="P135" s="444"/>
      <c r="Q135" s="444"/>
      <c r="R135" s="444"/>
      <c r="S135" s="444"/>
      <c r="T135" s="444"/>
      <c r="U135" s="1"/>
      <c r="V135" s="1"/>
    </row>
    <row r="136" spans="1:22" ht="21.75" hidden="1" customHeight="1">
      <c r="A136" s="456" t="s">
        <v>79</v>
      </c>
      <c r="B136" s="466" t="s">
        <v>204</v>
      </c>
      <c r="C136" s="74" t="s">
        <v>180</v>
      </c>
      <c r="D136" s="80">
        <v>354709</v>
      </c>
      <c r="E136" s="86">
        <v>5</v>
      </c>
      <c r="F136" s="86">
        <v>2.92</v>
      </c>
      <c r="G136" s="86">
        <f t="shared" si="21"/>
        <v>16.79</v>
      </c>
      <c r="H136" s="444"/>
      <c r="I136" s="444"/>
      <c r="J136" s="444"/>
      <c r="K136" s="444"/>
      <c r="L136" s="444"/>
      <c r="M136" s="444"/>
      <c r="N136" s="444"/>
      <c r="O136" s="444"/>
      <c r="P136" s="444"/>
      <c r="Q136" s="444"/>
      <c r="R136" s="444"/>
      <c r="S136" s="444"/>
      <c r="T136" s="444"/>
      <c r="U136" s="1"/>
      <c r="V136" s="1"/>
    </row>
    <row r="137" spans="1:22" ht="20.25" hidden="1" customHeight="1">
      <c r="A137" s="456" t="s">
        <v>155</v>
      </c>
      <c r="B137" s="445" t="s">
        <v>227</v>
      </c>
      <c r="C137" s="74" t="s">
        <v>180</v>
      </c>
      <c r="D137" s="80">
        <v>441602</v>
      </c>
      <c r="E137" s="86">
        <v>4</v>
      </c>
      <c r="F137" s="86">
        <v>16.32</v>
      </c>
      <c r="G137" s="86">
        <f t="shared" si="21"/>
        <v>75.071999999999989</v>
      </c>
      <c r="H137" s="444"/>
      <c r="I137" s="444"/>
      <c r="J137" s="444"/>
      <c r="K137" s="444"/>
      <c r="L137" s="444"/>
      <c r="M137" s="444"/>
      <c r="N137" s="444"/>
      <c r="O137" s="444"/>
      <c r="P137" s="444"/>
      <c r="Q137" s="444"/>
      <c r="R137" s="444"/>
      <c r="S137" s="444"/>
      <c r="T137" s="444"/>
      <c r="U137" s="1"/>
      <c r="V137" s="1"/>
    </row>
    <row r="138" spans="1:22" ht="21" hidden="1" customHeight="1">
      <c r="A138" s="456" t="s">
        <v>93</v>
      </c>
      <c r="B138" s="460" t="s">
        <v>228</v>
      </c>
      <c r="C138" s="74" t="s">
        <v>180</v>
      </c>
      <c r="D138" s="80">
        <v>368294</v>
      </c>
      <c r="E138" s="86">
        <v>2</v>
      </c>
      <c r="F138" s="86">
        <v>13.4</v>
      </c>
      <c r="G138" s="86">
        <f t="shared" si="21"/>
        <v>30.819999999999997</v>
      </c>
      <c r="H138" s="444"/>
      <c r="I138" s="444"/>
      <c r="J138" s="444"/>
      <c r="K138" s="444"/>
      <c r="L138" s="444"/>
      <c r="M138" s="444"/>
      <c r="N138" s="444"/>
      <c r="O138" s="444"/>
      <c r="P138" s="444"/>
      <c r="Q138" s="444"/>
      <c r="R138" s="444"/>
      <c r="S138" s="444"/>
      <c r="T138" s="444"/>
      <c r="U138" s="1"/>
      <c r="V138" s="1"/>
    </row>
    <row r="139" spans="1:22" ht="23.25" hidden="1" customHeight="1">
      <c r="A139" s="456" t="s">
        <v>96</v>
      </c>
      <c r="B139" s="466" t="s">
        <v>220</v>
      </c>
      <c r="C139" s="74" t="s">
        <v>180</v>
      </c>
      <c r="D139" s="80">
        <v>289375</v>
      </c>
      <c r="E139" s="86">
        <v>5</v>
      </c>
      <c r="F139" s="86">
        <v>4.08</v>
      </c>
      <c r="G139" s="86">
        <f t="shared" si="21"/>
        <v>23.459999999999997</v>
      </c>
      <c r="H139" s="444"/>
      <c r="I139" s="444"/>
      <c r="J139" s="444"/>
      <c r="K139" s="444"/>
      <c r="L139" s="444"/>
      <c r="M139" s="444"/>
      <c r="N139" s="444"/>
      <c r="O139" s="444"/>
      <c r="P139" s="444"/>
      <c r="Q139" s="444"/>
      <c r="R139" s="444"/>
      <c r="S139" s="444"/>
      <c r="T139" s="444"/>
      <c r="U139" s="1"/>
      <c r="V139" s="1"/>
    </row>
    <row r="140" spans="1:22" ht="21" hidden="1" customHeight="1">
      <c r="A140" s="456" t="s">
        <v>99</v>
      </c>
      <c r="B140" s="445" t="s">
        <v>230</v>
      </c>
      <c r="C140" s="74" t="s">
        <v>180</v>
      </c>
      <c r="D140" s="80">
        <v>235482</v>
      </c>
      <c r="E140" s="86">
        <v>2</v>
      </c>
      <c r="F140" s="86">
        <v>12.39</v>
      </c>
      <c r="G140" s="86">
        <f t="shared" si="21"/>
        <v>28.497</v>
      </c>
      <c r="H140" s="444"/>
      <c r="I140" s="444"/>
      <c r="J140" s="444"/>
      <c r="K140" s="444"/>
      <c r="L140" s="444"/>
      <c r="M140" s="444"/>
      <c r="N140" s="444"/>
      <c r="O140" s="444"/>
      <c r="P140" s="444"/>
      <c r="Q140" s="444"/>
      <c r="R140" s="444"/>
      <c r="S140" s="444"/>
      <c r="T140" s="444"/>
      <c r="U140" s="1"/>
      <c r="V140" s="1"/>
    </row>
    <row r="141" spans="1:22" ht="17.25" hidden="1" customHeight="1">
      <c r="A141" s="456" t="s">
        <v>108</v>
      </c>
      <c r="B141" s="466" t="s">
        <v>206</v>
      </c>
      <c r="C141" s="74" t="s">
        <v>180</v>
      </c>
      <c r="D141" s="80">
        <v>317127</v>
      </c>
      <c r="E141" s="86">
        <v>15</v>
      </c>
      <c r="F141" s="86">
        <v>16.149999999999999</v>
      </c>
      <c r="G141" s="86">
        <f t="shared" si="21"/>
        <v>278.58749999999992</v>
      </c>
      <c r="H141" s="444"/>
      <c r="I141" s="444"/>
      <c r="J141" s="444"/>
      <c r="K141" s="444"/>
      <c r="L141" s="444"/>
      <c r="M141" s="444"/>
      <c r="N141" s="444"/>
      <c r="O141" s="444"/>
      <c r="P141" s="444"/>
      <c r="Q141" s="444"/>
      <c r="R141" s="444"/>
      <c r="S141" s="444"/>
      <c r="T141" s="444"/>
      <c r="U141" s="1"/>
      <c r="V141" s="1"/>
    </row>
    <row r="142" spans="1:22" ht="18.75" hidden="1" customHeight="1">
      <c r="A142" s="456" t="s">
        <v>156</v>
      </c>
      <c r="B142" s="445" t="s">
        <v>235</v>
      </c>
      <c r="C142" s="74" t="s">
        <v>180</v>
      </c>
      <c r="D142" s="80">
        <v>433446</v>
      </c>
      <c r="E142" s="86">
        <v>47</v>
      </c>
      <c r="F142" s="86">
        <v>0.4</v>
      </c>
      <c r="G142" s="86">
        <f t="shared" si="21"/>
        <v>21.619999999999997</v>
      </c>
      <c r="H142" s="444"/>
      <c r="I142" s="444"/>
      <c r="J142" s="444"/>
      <c r="K142" s="444"/>
      <c r="L142" s="444"/>
      <c r="M142" s="444"/>
      <c r="N142" s="444"/>
      <c r="O142" s="444"/>
      <c r="P142" s="444"/>
      <c r="Q142" s="444"/>
      <c r="R142" s="444"/>
      <c r="S142" s="444"/>
      <c r="T142" s="444"/>
      <c r="U142" s="1"/>
      <c r="V142" s="1"/>
    </row>
    <row r="143" spans="1:22" ht="25.5" hidden="1" customHeight="1">
      <c r="A143" s="456" t="s">
        <v>157</v>
      </c>
      <c r="B143" s="445" t="s">
        <v>236</v>
      </c>
      <c r="C143" s="74" t="s">
        <v>180</v>
      </c>
      <c r="D143" s="80">
        <v>200038</v>
      </c>
      <c r="E143" s="86">
        <v>168</v>
      </c>
      <c r="F143" s="86">
        <v>0.25</v>
      </c>
      <c r="G143" s="86">
        <f t="shared" si="21"/>
        <v>48.3</v>
      </c>
      <c r="H143" s="444"/>
      <c r="I143" s="444"/>
      <c r="J143" s="444"/>
      <c r="K143" s="444"/>
      <c r="L143" s="444"/>
      <c r="M143" s="444"/>
      <c r="N143" s="444"/>
      <c r="O143" s="444"/>
      <c r="P143" s="444"/>
      <c r="Q143" s="444"/>
      <c r="R143" s="444"/>
      <c r="S143" s="444"/>
      <c r="T143" s="444"/>
      <c r="U143" s="1"/>
      <c r="V143" s="1"/>
    </row>
    <row r="144" spans="1:22" ht="20.25" hidden="1" customHeight="1">
      <c r="A144" s="456" t="s">
        <v>302</v>
      </c>
      <c r="B144" s="445" t="s">
        <v>303</v>
      </c>
      <c r="C144" s="74" t="s">
        <v>180</v>
      </c>
      <c r="D144" s="80">
        <v>368435</v>
      </c>
      <c r="E144" s="86">
        <v>3</v>
      </c>
      <c r="F144" s="86">
        <v>76</v>
      </c>
      <c r="G144" s="86">
        <f t="shared" si="21"/>
        <v>262.2</v>
      </c>
      <c r="H144" s="444"/>
      <c r="I144" s="444"/>
      <c r="J144" s="444"/>
      <c r="K144" s="444"/>
      <c r="L144" s="444"/>
      <c r="M144" s="444"/>
      <c r="N144" s="444"/>
      <c r="O144" s="444"/>
      <c r="P144" s="444"/>
      <c r="Q144" s="444"/>
      <c r="R144" s="444"/>
      <c r="S144" s="444"/>
      <c r="T144" s="444"/>
      <c r="U144" s="1"/>
      <c r="V144" s="1"/>
    </row>
    <row r="145" spans="1:22" ht="24" hidden="1" customHeight="1">
      <c r="A145" s="456" t="s">
        <v>120</v>
      </c>
      <c r="B145" s="445" t="s">
        <v>237</v>
      </c>
      <c r="C145" s="74" t="s">
        <v>180</v>
      </c>
      <c r="D145" s="80">
        <v>396053</v>
      </c>
      <c r="E145" s="86">
        <v>78</v>
      </c>
      <c r="F145" s="86">
        <v>1.71</v>
      </c>
      <c r="G145" s="86">
        <f t="shared" si="21"/>
        <v>153.38699999999997</v>
      </c>
      <c r="H145" s="444"/>
      <c r="I145" s="444"/>
      <c r="J145" s="444"/>
      <c r="K145" s="444"/>
      <c r="L145" s="444"/>
      <c r="M145" s="444"/>
      <c r="N145" s="444"/>
      <c r="O145" s="444"/>
      <c r="P145" s="444"/>
      <c r="Q145" s="444"/>
      <c r="R145" s="444"/>
      <c r="S145" s="444"/>
      <c r="T145" s="444"/>
      <c r="U145" s="1"/>
      <c r="V145" s="1"/>
    </row>
    <row r="146" spans="1:22" ht="27" hidden="1" customHeight="1">
      <c r="A146" s="456" t="s">
        <v>121</v>
      </c>
      <c r="B146" s="445" t="s">
        <v>238</v>
      </c>
      <c r="C146" s="74" t="s">
        <v>180</v>
      </c>
      <c r="D146" s="80">
        <v>239589</v>
      </c>
      <c r="E146" s="86">
        <v>9</v>
      </c>
      <c r="F146" s="86">
        <v>31.73</v>
      </c>
      <c r="G146" s="86">
        <f t="shared" si="21"/>
        <v>328.40549999999996</v>
      </c>
      <c r="H146" s="444"/>
      <c r="I146" s="444"/>
      <c r="J146" s="444"/>
      <c r="K146" s="444"/>
      <c r="L146" s="444"/>
      <c r="M146" s="444"/>
      <c r="N146" s="444"/>
      <c r="O146" s="444"/>
      <c r="P146" s="444"/>
      <c r="Q146" s="444"/>
      <c r="R146" s="444"/>
      <c r="S146" s="444"/>
      <c r="T146" s="444"/>
      <c r="U146" s="1"/>
      <c r="V146" s="1"/>
    </row>
    <row r="147" spans="1:22" ht="24.75" hidden="1" customHeight="1">
      <c r="A147" s="456" t="s">
        <v>132</v>
      </c>
      <c r="B147" s="445" t="s">
        <v>239</v>
      </c>
      <c r="C147" s="74" t="s">
        <v>180</v>
      </c>
      <c r="D147" s="80">
        <v>302879</v>
      </c>
      <c r="E147" s="86">
        <v>19</v>
      </c>
      <c r="F147" s="86">
        <v>3.08</v>
      </c>
      <c r="G147" s="86">
        <f t="shared" si="21"/>
        <v>67.298000000000002</v>
      </c>
      <c r="H147" s="444"/>
      <c r="I147" s="444"/>
      <c r="J147" s="444"/>
      <c r="K147" s="444"/>
      <c r="L147" s="444"/>
      <c r="M147" s="444"/>
      <c r="N147" s="444"/>
      <c r="O147" s="444"/>
      <c r="P147" s="444"/>
      <c r="Q147" s="444"/>
      <c r="R147" s="444"/>
      <c r="S147" s="444"/>
      <c r="T147" s="444"/>
      <c r="U147" s="1"/>
      <c r="V147" s="1"/>
    </row>
    <row r="148" spans="1:22" ht="24.75" hidden="1" customHeight="1">
      <c r="A148" s="456" t="s">
        <v>137</v>
      </c>
      <c r="B148" s="445" t="s">
        <v>240</v>
      </c>
      <c r="C148" s="74" t="s">
        <v>180</v>
      </c>
      <c r="D148" s="80">
        <v>313142</v>
      </c>
      <c r="E148" s="86">
        <v>6</v>
      </c>
      <c r="F148" s="86">
        <v>1.18</v>
      </c>
      <c r="G148" s="86">
        <f t="shared" si="21"/>
        <v>8.1419999999999995</v>
      </c>
      <c r="H148" s="444"/>
      <c r="I148" s="444"/>
      <c r="J148" s="444"/>
      <c r="K148" s="444"/>
      <c r="L148" s="444"/>
      <c r="M148" s="444"/>
      <c r="N148" s="444"/>
      <c r="O148" s="444"/>
      <c r="P148" s="444"/>
      <c r="Q148" s="444"/>
      <c r="R148" s="444"/>
      <c r="S148" s="444"/>
      <c r="T148" s="444"/>
      <c r="U148" s="1"/>
      <c r="V148" s="1"/>
    </row>
    <row r="149" spans="1:22" ht="23.25" hidden="1" customHeight="1">
      <c r="A149" s="457" t="s">
        <v>158</v>
      </c>
      <c r="B149" s="445" t="s">
        <v>241</v>
      </c>
      <c r="C149" s="74" t="s">
        <v>180</v>
      </c>
      <c r="D149" s="80">
        <v>451001</v>
      </c>
      <c r="E149" s="86">
        <v>50</v>
      </c>
      <c r="F149" s="86">
        <v>2</v>
      </c>
      <c r="G149" s="86">
        <f t="shared" si="21"/>
        <v>114.99999999999999</v>
      </c>
      <c r="H149" s="444"/>
      <c r="I149" s="444"/>
      <c r="J149" s="444"/>
      <c r="K149" s="444"/>
      <c r="L149" s="444"/>
      <c r="M149" s="444"/>
      <c r="N149" s="444"/>
      <c r="O149" s="444"/>
      <c r="P149" s="444"/>
      <c r="Q149" s="444"/>
      <c r="R149" s="444"/>
      <c r="S149" s="444"/>
      <c r="T149" s="444"/>
      <c r="U149" s="1"/>
      <c r="V149" s="1"/>
    </row>
    <row r="150" spans="1:22" ht="23.25" hidden="1" customHeight="1">
      <c r="A150" s="456" t="s">
        <v>140</v>
      </c>
      <c r="B150" s="461" t="s">
        <v>242</v>
      </c>
      <c r="C150" s="74" t="s">
        <v>180</v>
      </c>
      <c r="D150" s="80">
        <v>376266</v>
      </c>
      <c r="E150" s="86">
        <v>11</v>
      </c>
      <c r="F150" s="86">
        <v>5.58</v>
      </c>
      <c r="G150" s="86">
        <f t="shared" si="21"/>
        <v>70.587000000000003</v>
      </c>
      <c r="H150" s="444"/>
      <c r="I150" s="444"/>
      <c r="J150" s="444"/>
      <c r="K150" s="444"/>
      <c r="L150" s="444"/>
      <c r="M150" s="444"/>
      <c r="N150" s="444"/>
      <c r="O150" s="444"/>
      <c r="P150" s="444"/>
      <c r="Q150" s="444"/>
      <c r="R150" s="444"/>
      <c r="S150" s="444"/>
      <c r="T150" s="444"/>
      <c r="U150" s="1"/>
      <c r="V150" s="1"/>
    </row>
    <row r="151" spans="1:22" ht="24.75" hidden="1" customHeight="1">
      <c r="A151" s="456" t="s">
        <v>159</v>
      </c>
      <c r="B151" s="445" t="s">
        <v>243</v>
      </c>
      <c r="C151" s="74" t="s">
        <v>180</v>
      </c>
      <c r="D151" s="80">
        <v>375443</v>
      </c>
      <c r="E151" s="86">
        <v>3</v>
      </c>
      <c r="F151" s="86">
        <v>14</v>
      </c>
      <c r="G151" s="86">
        <f t="shared" si="21"/>
        <v>48.3</v>
      </c>
      <c r="H151" s="444"/>
      <c r="I151" s="444"/>
      <c r="J151" s="444"/>
      <c r="K151" s="444"/>
      <c r="L151" s="444"/>
      <c r="M151" s="444"/>
      <c r="N151" s="444"/>
      <c r="O151" s="444"/>
      <c r="P151" s="444"/>
      <c r="Q151" s="444"/>
      <c r="R151" s="444"/>
      <c r="S151" s="444"/>
      <c r="T151" s="444"/>
      <c r="U151" s="1"/>
      <c r="V151" s="1"/>
    </row>
    <row r="152" spans="1:22">
      <c r="A152" s="449" t="s">
        <v>23</v>
      </c>
      <c r="B152" s="79"/>
      <c r="C152" s="450"/>
      <c r="D152" s="442"/>
      <c r="E152" s="86"/>
      <c r="F152" s="86"/>
      <c r="G152" s="86">
        <f>F152*E152</f>
        <v>0</v>
      </c>
      <c r="H152" s="444">
        <v>0</v>
      </c>
      <c r="I152" s="444">
        <v>0</v>
      </c>
      <c r="J152" s="444">
        <v>0</v>
      </c>
      <c r="K152" s="444">
        <v>0</v>
      </c>
      <c r="L152" s="444">
        <v>0</v>
      </c>
      <c r="M152" s="444">
        <v>0</v>
      </c>
      <c r="N152" s="444">
        <v>0</v>
      </c>
      <c r="O152" s="444">
        <v>0</v>
      </c>
      <c r="P152" s="444">
        <v>0</v>
      </c>
      <c r="Q152" s="444">
        <v>0</v>
      </c>
      <c r="R152" s="444">
        <v>0</v>
      </c>
      <c r="S152" s="444">
        <v>0</v>
      </c>
      <c r="T152" s="444">
        <f>H152+I152+J152+K152+L152+M152+N152+O152+P152+Q152+R152+S152</f>
        <v>0</v>
      </c>
      <c r="U152" s="1"/>
      <c r="V152" s="1"/>
    </row>
    <row r="153" spans="1:22" ht="12.75" customHeight="1">
      <c r="A153" s="440" t="s">
        <v>24</v>
      </c>
      <c r="B153" s="79"/>
      <c r="C153" s="450"/>
      <c r="D153" s="442"/>
      <c r="E153" s="443">
        <f>SUM(E154:E160)</f>
        <v>207887</v>
      </c>
      <c r="F153" s="86"/>
      <c r="G153" s="443">
        <f t="shared" ref="G153:N153" si="22">SUM(G154:G160)</f>
        <v>5088.1404999999995</v>
      </c>
      <c r="H153" s="444">
        <f t="shared" si="22"/>
        <v>0</v>
      </c>
      <c r="I153" s="444">
        <f t="shared" si="22"/>
        <v>0</v>
      </c>
      <c r="J153" s="444">
        <f t="shared" si="22"/>
        <v>0</v>
      </c>
      <c r="K153" s="444">
        <f t="shared" si="22"/>
        <v>0</v>
      </c>
      <c r="L153" s="444">
        <f t="shared" si="22"/>
        <v>0</v>
      </c>
      <c r="M153" s="444">
        <f t="shared" si="22"/>
        <v>0</v>
      </c>
      <c r="N153" s="444">
        <f t="shared" si="22"/>
        <v>0</v>
      </c>
      <c r="O153" s="444">
        <f>SUM(O154:O160)</f>
        <v>0</v>
      </c>
      <c r="P153" s="444">
        <f>SUM(P154:P160)</f>
        <v>0</v>
      </c>
      <c r="Q153" s="444">
        <f>SUM(Q154:Q160)</f>
        <v>3427.9499999999994</v>
      </c>
      <c r="R153" s="444">
        <f>SUM(R154:R160)</f>
        <v>0</v>
      </c>
      <c r="S153" s="444">
        <f>SUM(S154:S160)</f>
        <v>0</v>
      </c>
      <c r="T153" s="444">
        <f t="shared" ref="T153" si="23">SUM(T154:T159)</f>
        <v>0</v>
      </c>
      <c r="U153" s="1"/>
      <c r="V153" s="1"/>
    </row>
    <row r="154" spans="1:22" ht="21" hidden="1" customHeight="1">
      <c r="A154" s="456" t="s">
        <v>183</v>
      </c>
      <c r="B154" s="445" t="s">
        <v>250</v>
      </c>
      <c r="C154" s="74" t="s">
        <v>180</v>
      </c>
      <c r="D154" s="80">
        <v>419859</v>
      </c>
      <c r="E154" s="86">
        <v>120000</v>
      </c>
      <c r="F154" s="86">
        <v>2.29E-2</v>
      </c>
      <c r="G154" s="86">
        <f>(F154*E154)*1.15</f>
        <v>3160.2</v>
      </c>
      <c r="H154" s="88"/>
      <c r="I154" s="88"/>
      <c r="J154" s="88"/>
      <c r="K154" s="88"/>
      <c r="L154" s="88"/>
      <c r="M154" s="88"/>
      <c r="N154" s="88"/>
      <c r="O154" s="88"/>
      <c r="P154" s="88"/>
      <c r="Q154" s="88">
        <v>1500</v>
      </c>
      <c r="R154" s="88"/>
      <c r="S154" s="88"/>
      <c r="T154" s="88"/>
      <c r="U154" s="1"/>
      <c r="V154" s="1"/>
    </row>
    <row r="155" spans="1:22" ht="24" hidden="1" customHeight="1">
      <c r="A155" s="456" t="s">
        <v>185</v>
      </c>
      <c r="B155" s="445" t="s">
        <v>250</v>
      </c>
      <c r="C155" s="74" t="s">
        <v>180</v>
      </c>
      <c r="D155" s="80">
        <v>419859</v>
      </c>
      <c r="E155" s="86">
        <v>40000</v>
      </c>
      <c r="F155" s="86">
        <v>2.29E-2</v>
      </c>
      <c r="G155" s="86">
        <f>(F155*E155)*1.15</f>
        <v>1053.3999999999999</v>
      </c>
      <c r="H155" s="88"/>
      <c r="I155" s="88"/>
      <c r="J155" s="88"/>
      <c r="K155" s="88"/>
      <c r="L155" s="88"/>
      <c r="M155" s="88"/>
      <c r="N155" s="88"/>
      <c r="O155" s="88"/>
      <c r="P155" s="88"/>
      <c r="Q155" s="88">
        <v>1053.4000000000001</v>
      </c>
      <c r="R155" s="88"/>
      <c r="S155" s="88"/>
      <c r="T155" s="88"/>
      <c r="U155" s="1"/>
      <c r="V155" s="1"/>
    </row>
    <row r="156" spans="1:22" ht="19.5" hidden="1" customHeight="1">
      <c r="A156" s="456" t="s">
        <v>184</v>
      </c>
      <c r="B156" s="445" t="s">
        <v>251</v>
      </c>
      <c r="C156" s="74" t="s">
        <v>180</v>
      </c>
      <c r="D156" s="80">
        <v>254007</v>
      </c>
      <c r="E156" s="86">
        <v>40000</v>
      </c>
      <c r="F156" s="86">
        <v>1.2800000000000001E-2</v>
      </c>
      <c r="G156" s="86">
        <f t="shared" ref="G156:G159" si="24">(F156*E156)*1.15</f>
        <v>588.79999999999995</v>
      </c>
      <c r="H156" s="88"/>
      <c r="I156" s="88"/>
      <c r="J156" s="88"/>
      <c r="K156" s="88"/>
      <c r="L156" s="88"/>
      <c r="M156" s="88"/>
      <c r="N156" s="88"/>
      <c r="O156" s="88"/>
      <c r="P156" s="88"/>
      <c r="Q156" s="88">
        <v>588.79999999999995</v>
      </c>
      <c r="R156" s="88"/>
      <c r="S156" s="88"/>
      <c r="T156" s="88"/>
      <c r="U156" s="1"/>
      <c r="V156" s="1"/>
    </row>
    <row r="157" spans="1:22" ht="19.5" hidden="1" customHeight="1">
      <c r="A157" s="456" t="s">
        <v>186</v>
      </c>
      <c r="B157" s="445" t="s">
        <v>251</v>
      </c>
      <c r="C157" s="74" t="s">
        <v>180</v>
      </c>
      <c r="D157" s="80">
        <v>254007</v>
      </c>
      <c r="E157" s="86">
        <v>5000</v>
      </c>
      <c r="F157" s="86">
        <v>1.2800000000000001E-2</v>
      </c>
      <c r="G157" s="86">
        <f t="shared" si="24"/>
        <v>73.599999999999994</v>
      </c>
      <c r="H157" s="88"/>
      <c r="I157" s="88"/>
      <c r="J157" s="88"/>
      <c r="K157" s="88"/>
      <c r="L157" s="88"/>
      <c r="M157" s="88"/>
      <c r="N157" s="88"/>
      <c r="O157" s="88"/>
      <c r="P157" s="88"/>
      <c r="Q157" s="88">
        <v>73.599999999999994</v>
      </c>
      <c r="R157" s="88"/>
      <c r="S157" s="88"/>
      <c r="T157" s="88"/>
      <c r="U157" s="1"/>
      <c r="V157" s="1"/>
    </row>
    <row r="158" spans="1:22" ht="22.5" hidden="1" customHeight="1">
      <c r="A158" s="456" t="s">
        <v>188</v>
      </c>
      <c r="B158" s="445" t="s">
        <v>252</v>
      </c>
      <c r="C158" s="74" t="s">
        <v>180</v>
      </c>
      <c r="D158" s="80">
        <v>288915</v>
      </c>
      <c r="E158" s="86">
        <v>1</v>
      </c>
      <c r="F158" s="86">
        <v>94.77</v>
      </c>
      <c r="G158" s="86">
        <f t="shared" si="24"/>
        <v>108.98549999999999</v>
      </c>
      <c r="H158" s="88"/>
      <c r="I158" s="88"/>
      <c r="J158" s="88"/>
      <c r="K158" s="88"/>
      <c r="L158" s="88"/>
      <c r="M158" s="88"/>
      <c r="N158" s="88"/>
      <c r="O158" s="88"/>
      <c r="P158" s="88"/>
      <c r="Q158" s="88">
        <v>108.99</v>
      </c>
      <c r="R158" s="88"/>
      <c r="S158" s="88"/>
      <c r="T158" s="88"/>
      <c r="U158" s="1"/>
      <c r="V158" s="1"/>
    </row>
    <row r="159" spans="1:22" ht="22.5" hidden="1" customHeight="1">
      <c r="A159" s="456" t="s">
        <v>187</v>
      </c>
      <c r="B159" s="445" t="s">
        <v>253</v>
      </c>
      <c r="C159" s="74" t="s">
        <v>180</v>
      </c>
      <c r="D159" s="80">
        <v>355015</v>
      </c>
      <c r="E159" s="86">
        <v>2880</v>
      </c>
      <c r="F159" s="86">
        <v>0.02</v>
      </c>
      <c r="G159" s="86">
        <f t="shared" si="24"/>
        <v>66.239999999999995</v>
      </c>
      <c r="H159" s="88"/>
      <c r="I159" s="88"/>
      <c r="J159" s="88"/>
      <c r="K159" s="88"/>
      <c r="L159" s="88"/>
      <c r="M159" s="88"/>
      <c r="N159" s="88"/>
      <c r="O159" s="88"/>
      <c r="P159" s="88"/>
      <c r="Q159" s="88">
        <v>66.239999999999995</v>
      </c>
      <c r="R159" s="88"/>
      <c r="S159" s="88"/>
      <c r="T159" s="88"/>
      <c r="U159" s="1"/>
      <c r="V159" s="1"/>
    </row>
    <row r="160" spans="1:22" ht="24.75" hidden="1" customHeight="1">
      <c r="A160" s="457" t="s">
        <v>190</v>
      </c>
      <c r="B160" s="445" t="s">
        <v>254</v>
      </c>
      <c r="C160" s="74" t="s">
        <v>180</v>
      </c>
      <c r="D160" s="80">
        <v>259411</v>
      </c>
      <c r="E160" s="86">
        <v>6</v>
      </c>
      <c r="F160" s="86">
        <v>5.35</v>
      </c>
      <c r="G160" s="86">
        <f>(F160*E160)*1.15</f>
        <v>36.914999999999992</v>
      </c>
      <c r="H160" s="88">
        <v>0</v>
      </c>
      <c r="I160" s="88">
        <v>0</v>
      </c>
      <c r="J160" s="88">
        <v>0</v>
      </c>
      <c r="K160" s="88">
        <v>0</v>
      </c>
      <c r="L160" s="88">
        <v>0</v>
      </c>
      <c r="M160" s="88">
        <v>0</v>
      </c>
      <c r="N160" s="88">
        <v>0</v>
      </c>
      <c r="O160" s="88">
        <v>0</v>
      </c>
      <c r="P160" s="88">
        <v>0</v>
      </c>
      <c r="Q160" s="88">
        <v>36.92</v>
      </c>
      <c r="R160" s="88">
        <v>0</v>
      </c>
      <c r="S160" s="88">
        <v>0</v>
      </c>
      <c r="T160" s="88">
        <f>SUM(H160:S160)</f>
        <v>36.92</v>
      </c>
      <c r="U160" s="1"/>
      <c r="V160" s="1"/>
    </row>
    <row r="161" spans="1:22">
      <c r="A161" s="440" t="s">
        <v>189</v>
      </c>
      <c r="B161" s="467"/>
      <c r="C161" s="462"/>
      <c r="D161" s="442"/>
      <c r="E161" s="443">
        <f>SUM(E162:E163)</f>
        <v>44</v>
      </c>
      <c r="F161" s="86"/>
      <c r="G161" s="443">
        <f t="shared" ref="G161:S161" si="25">SUM(G162:G163)</f>
        <v>103.5</v>
      </c>
      <c r="H161" s="444">
        <f t="shared" si="25"/>
        <v>0</v>
      </c>
      <c r="I161" s="444">
        <f t="shared" si="25"/>
        <v>0</v>
      </c>
      <c r="J161" s="444">
        <f t="shared" si="25"/>
        <v>0</v>
      </c>
      <c r="K161" s="444">
        <f t="shared" si="25"/>
        <v>0</v>
      </c>
      <c r="L161" s="444">
        <f t="shared" si="25"/>
        <v>0</v>
      </c>
      <c r="M161" s="444">
        <f t="shared" si="25"/>
        <v>0</v>
      </c>
      <c r="N161" s="444">
        <f t="shared" si="25"/>
        <v>0</v>
      </c>
      <c r="O161" s="444">
        <f t="shared" si="25"/>
        <v>0</v>
      </c>
      <c r="P161" s="444">
        <f t="shared" si="25"/>
        <v>0</v>
      </c>
      <c r="Q161" s="444">
        <f t="shared" si="25"/>
        <v>103.5</v>
      </c>
      <c r="R161" s="444">
        <f t="shared" si="25"/>
        <v>0</v>
      </c>
      <c r="S161" s="444">
        <f t="shared" si="25"/>
        <v>0</v>
      </c>
      <c r="T161" s="444">
        <f>U177</f>
        <v>0</v>
      </c>
      <c r="U161" s="1"/>
      <c r="V161" s="1"/>
    </row>
    <row r="162" spans="1:22" ht="17.25" hidden="1" customHeight="1">
      <c r="A162" s="457" t="s">
        <v>151</v>
      </c>
      <c r="B162" s="445" t="s">
        <v>244</v>
      </c>
      <c r="C162" s="74" t="s">
        <v>180</v>
      </c>
      <c r="D162" s="80">
        <v>454957</v>
      </c>
      <c r="E162" s="86">
        <v>24</v>
      </c>
      <c r="F162" s="86">
        <v>1.5</v>
      </c>
      <c r="G162" s="86">
        <f t="shared" ref="G162:G163" si="26">(F162*E162)*1.15</f>
        <v>41.4</v>
      </c>
      <c r="H162" s="88">
        <v>0</v>
      </c>
      <c r="I162" s="88">
        <v>0</v>
      </c>
      <c r="J162" s="88">
        <v>0</v>
      </c>
      <c r="K162" s="88">
        <v>0</v>
      </c>
      <c r="L162" s="88">
        <v>0</v>
      </c>
      <c r="M162" s="88">
        <v>0</v>
      </c>
      <c r="N162" s="88">
        <v>0</v>
      </c>
      <c r="O162" s="88">
        <v>0</v>
      </c>
      <c r="P162" s="88">
        <v>0</v>
      </c>
      <c r="Q162" s="88">
        <v>41.4</v>
      </c>
      <c r="R162" s="88">
        <v>0</v>
      </c>
      <c r="S162" s="88">
        <v>0</v>
      </c>
      <c r="T162" s="88">
        <f>SUM(H162:S162)</f>
        <v>41.4</v>
      </c>
      <c r="U162" s="1"/>
      <c r="V162" s="1"/>
    </row>
    <row r="163" spans="1:22" ht="19.5" hidden="1" customHeight="1">
      <c r="A163" s="457" t="s">
        <v>152</v>
      </c>
      <c r="B163" s="445" t="s">
        <v>245</v>
      </c>
      <c r="C163" s="74" t="s">
        <v>180</v>
      </c>
      <c r="D163" s="80">
        <v>277697</v>
      </c>
      <c r="E163" s="86">
        <v>20</v>
      </c>
      <c r="F163" s="86">
        <v>2.7</v>
      </c>
      <c r="G163" s="86">
        <f t="shared" si="26"/>
        <v>62.099999999999994</v>
      </c>
      <c r="H163" s="88">
        <v>0</v>
      </c>
      <c r="I163" s="88">
        <v>0</v>
      </c>
      <c r="J163" s="88">
        <v>0</v>
      </c>
      <c r="K163" s="88">
        <v>0</v>
      </c>
      <c r="L163" s="88">
        <v>0</v>
      </c>
      <c r="M163" s="88">
        <v>0</v>
      </c>
      <c r="N163" s="88">
        <v>0</v>
      </c>
      <c r="O163" s="88">
        <v>0</v>
      </c>
      <c r="P163" s="88">
        <v>0</v>
      </c>
      <c r="Q163" s="88">
        <v>62.1</v>
      </c>
      <c r="R163" s="88">
        <v>0</v>
      </c>
      <c r="S163" s="88">
        <v>0</v>
      </c>
      <c r="T163" s="88">
        <f>SUM(H163:S163)</f>
        <v>62.1</v>
      </c>
      <c r="U163" s="1"/>
      <c r="V163" s="1"/>
    </row>
    <row r="164" spans="1:22">
      <c r="A164" s="449" t="s">
        <v>25</v>
      </c>
      <c r="B164" s="79"/>
      <c r="C164" s="450"/>
      <c r="D164" s="442"/>
      <c r="E164" s="86"/>
      <c r="F164" s="86"/>
      <c r="G164" s="86">
        <f t="shared" ref="G164:G166" si="27">F164*E164</f>
        <v>0</v>
      </c>
      <c r="H164" s="444">
        <v>0</v>
      </c>
      <c r="I164" s="444">
        <v>0</v>
      </c>
      <c r="J164" s="444">
        <v>0</v>
      </c>
      <c r="K164" s="444">
        <v>0</v>
      </c>
      <c r="L164" s="444">
        <v>0</v>
      </c>
      <c r="M164" s="444">
        <v>0</v>
      </c>
      <c r="N164" s="444">
        <v>0</v>
      </c>
      <c r="O164" s="444">
        <v>0</v>
      </c>
      <c r="P164" s="444">
        <v>0</v>
      </c>
      <c r="Q164" s="444">
        <v>0</v>
      </c>
      <c r="R164" s="444">
        <v>0</v>
      </c>
      <c r="S164" s="444">
        <v>0</v>
      </c>
      <c r="T164" s="444">
        <v>0</v>
      </c>
      <c r="U164" s="1"/>
      <c r="V164" s="1"/>
    </row>
    <row r="165" spans="1:22">
      <c r="A165" s="449" t="s">
        <v>26</v>
      </c>
      <c r="B165" s="79"/>
      <c r="C165" s="450"/>
      <c r="D165" s="442"/>
      <c r="E165" s="86"/>
      <c r="F165" s="86"/>
      <c r="G165" s="86">
        <f t="shared" si="27"/>
        <v>0</v>
      </c>
      <c r="H165" s="444"/>
      <c r="I165" s="444"/>
      <c r="J165" s="444"/>
      <c r="K165" s="444"/>
      <c r="L165" s="444"/>
      <c r="M165" s="444"/>
      <c r="N165" s="444"/>
      <c r="O165" s="444"/>
      <c r="P165" s="444"/>
      <c r="Q165" s="444"/>
      <c r="R165" s="444"/>
      <c r="S165" s="444"/>
      <c r="T165" s="444"/>
      <c r="U165" s="1"/>
      <c r="V165" s="1"/>
    </row>
    <row r="166" spans="1:22">
      <c r="A166" s="449" t="s">
        <v>27</v>
      </c>
      <c r="B166" s="79"/>
      <c r="C166" s="450"/>
      <c r="D166" s="442"/>
      <c r="E166" s="86"/>
      <c r="F166" s="86"/>
      <c r="G166" s="86">
        <f t="shared" si="27"/>
        <v>0</v>
      </c>
      <c r="H166" s="444"/>
      <c r="I166" s="444"/>
      <c r="J166" s="444"/>
      <c r="K166" s="444"/>
      <c r="L166" s="444"/>
      <c r="M166" s="444"/>
      <c r="N166" s="444"/>
      <c r="O166" s="444"/>
      <c r="P166" s="444"/>
      <c r="Q166" s="444"/>
      <c r="R166" s="444"/>
      <c r="S166" s="444"/>
      <c r="T166" s="444"/>
      <c r="U166" s="1"/>
      <c r="V166" s="1"/>
    </row>
    <row r="167" spans="1:22" ht="15.75" customHeight="1">
      <c r="A167" s="440" t="s">
        <v>192</v>
      </c>
      <c r="B167" s="79"/>
      <c r="C167" s="450"/>
      <c r="D167" s="442"/>
      <c r="E167" s="443">
        <f>SUM(E168:E170)</f>
        <v>328</v>
      </c>
      <c r="F167" s="86"/>
      <c r="G167" s="443">
        <f>SUM(G168:G170)</f>
        <v>544.17999999999995</v>
      </c>
      <c r="H167" s="444">
        <f>H168</f>
        <v>0</v>
      </c>
      <c r="I167" s="444">
        <f t="shared" ref="I167:S167" si="28">I168</f>
        <v>0</v>
      </c>
      <c r="J167" s="444">
        <f t="shared" si="28"/>
        <v>0</v>
      </c>
      <c r="K167" s="444">
        <f t="shared" si="28"/>
        <v>0</v>
      </c>
      <c r="L167" s="444">
        <f t="shared" si="28"/>
        <v>0</v>
      </c>
      <c r="M167" s="444">
        <f t="shared" si="28"/>
        <v>0</v>
      </c>
      <c r="N167" s="444">
        <f t="shared" si="28"/>
        <v>0</v>
      </c>
      <c r="O167" s="444">
        <f t="shared" si="28"/>
        <v>0</v>
      </c>
      <c r="P167" s="444">
        <f t="shared" si="28"/>
        <v>0</v>
      </c>
      <c r="Q167" s="444">
        <f>SUM(Q168:Q170)</f>
        <v>375.13</v>
      </c>
      <c r="R167" s="444">
        <f t="shared" si="28"/>
        <v>0</v>
      </c>
      <c r="S167" s="444">
        <f t="shared" si="28"/>
        <v>0</v>
      </c>
      <c r="T167" s="444">
        <f>SUM(Q167)</f>
        <v>375.13</v>
      </c>
      <c r="U167" s="1"/>
      <c r="V167" s="1"/>
    </row>
    <row r="168" spans="1:22" ht="21" hidden="1" customHeight="1">
      <c r="A168" s="468" t="s">
        <v>193</v>
      </c>
      <c r="B168" s="445" t="s">
        <v>248</v>
      </c>
      <c r="C168" s="74" t="s">
        <v>180</v>
      </c>
      <c r="D168" s="80">
        <v>419859</v>
      </c>
      <c r="E168" s="86">
        <v>150</v>
      </c>
      <c r="F168" s="86">
        <v>1.79</v>
      </c>
      <c r="G168" s="86">
        <f>(E168*F168)*1.15</f>
        <v>308.77499999999998</v>
      </c>
      <c r="H168" s="88">
        <v>0</v>
      </c>
      <c r="I168" s="88">
        <v>0</v>
      </c>
      <c r="J168" s="88">
        <v>0</v>
      </c>
      <c r="K168" s="88">
        <v>0</v>
      </c>
      <c r="L168" s="88">
        <v>0</v>
      </c>
      <c r="M168" s="88">
        <v>0</v>
      </c>
      <c r="N168" s="88">
        <v>0</v>
      </c>
      <c r="O168" s="88">
        <v>0</v>
      </c>
      <c r="P168" s="88">
        <v>0</v>
      </c>
      <c r="Q168" s="88">
        <v>205.85</v>
      </c>
      <c r="R168" s="88">
        <v>0</v>
      </c>
      <c r="S168" s="88">
        <v>0</v>
      </c>
      <c r="T168" s="88">
        <f>H168+I168+J168+K168+L168+M168+N168+O168+P168+Q168+R168+S168</f>
        <v>205.85</v>
      </c>
      <c r="U168" s="1"/>
      <c r="V168" s="1"/>
    </row>
    <row r="169" spans="1:22" ht="21" hidden="1" customHeight="1">
      <c r="A169" s="468" t="s">
        <v>194</v>
      </c>
      <c r="B169" s="445" t="s">
        <v>249</v>
      </c>
      <c r="C169" s="74" t="s">
        <v>180</v>
      </c>
      <c r="D169" s="80">
        <v>309967</v>
      </c>
      <c r="E169" s="86">
        <v>150</v>
      </c>
      <c r="F169" s="86">
        <v>1.1499999999999999</v>
      </c>
      <c r="G169" s="86">
        <f>(E169*F169)*1.15</f>
        <v>198.37499999999997</v>
      </c>
      <c r="H169" s="88"/>
      <c r="I169" s="88"/>
      <c r="J169" s="88"/>
      <c r="K169" s="88"/>
      <c r="L169" s="88"/>
      <c r="M169" s="88"/>
      <c r="N169" s="88"/>
      <c r="O169" s="88"/>
      <c r="P169" s="88"/>
      <c r="Q169" s="88">
        <v>132.25</v>
      </c>
      <c r="R169" s="88"/>
      <c r="S169" s="88"/>
      <c r="T169" s="88">
        <f>H169+I169+J169+K169+L169+M169+N169+O169+P169+Q169+R169+S169</f>
        <v>132.25</v>
      </c>
      <c r="U169" s="1"/>
      <c r="V169" s="1"/>
    </row>
    <row r="170" spans="1:22" ht="18" hidden="1" customHeight="1">
      <c r="A170" s="468" t="s">
        <v>191</v>
      </c>
      <c r="B170" s="445" t="s">
        <v>249</v>
      </c>
      <c r="C170" s="74" t="s">
        <v>180</v>
      </c>
      <c r="D170" s="80">
        <v>309967</v>
      </c>
      <c r="E170" s="86">
        <v>28</v>
      </c>
      <c r="F170" s="86">
        <v>1.1499999999999999</v>
      </c>
      <c r="G170" s="86">
        <f>(E170*F170)*1.15</f>
        <v>37.029999999999994</v>
      </c>
      <c r="H170" s="88"/>
      <c r="I170" s="88"/>
      <c r="J170" s="88"/>
      <c r="K170" s="88"/>
      <c r="L170" s="88"/>
      <c r="M170" s="88"/>
      <c r="N170" s="88"/>
      <c r="O170" s="88"/>
      <c r="P170" s="88"/>
      <c r="Q170" s="88">
        <v>37.03</v>
      </c>
      <c r="R170" s="88"/>
      <c r="S170" s="88"/>
      <c r="T170" s="88">
        <f>H170+I170+J170+K170+L170+M170+N170+O170+P170+Q170+R170+S170</f>
        <v>37.03</v>
      </c>
      <c r="U170" s="1"/>
      <c r="V170" s="1"/>
    </row>
    <row r="171" spans="1:22">
      <c r="A171" s="449" t="s">
        <v>28</v>
      </c>
      <c r="B171" s="79"/>
      <c r="C171" s="450"/>
      <c r="D171" s="442"/>
      <c r="E171" s="86"/>
      <c r="F171" s="86"/>
      <c r="G171" s="86">
        <f>E171*F171</f>
        <v>0</v>
      </c>
      <c r="H171" s="444"/>
      <c r="I171" s="444"/>
      <c r="J171" s="444"/>
      <c r="K171" s="444"/>
      <c r="L171" s="444"/>
      <c r="M171" s="444"/>
      <c r="N171" s="444"/>
      <c r="O171" s="444"/>
      <c r="P171" s="444"/>
      <c r="Q171" s="444"/>
      <c r="R171" s="444"/>
      <c r="S171" s="444"/>
      <c r="T171" s="444"/>
      <c r="U171" s="1"/>
      <c r="V171" s="1"/>
    </row>
    <row r="172" spans="1:22">
      <c r="A172" s="449" t="s">
        <v>29</v>
      </c>
      <c r="B172" s="79"/>
      <c r="C172" s="450"/>
      <c r="D172" s="442"/>
      <c r="E172" s="86"/>
      <c r="F172" s="86"/>
      <c r="G172" s="86">
        <f t="shared" ref="G172:G179" si="29">E172*F172</f>
        <v>0</v>
      </c>
      <c r="H172" s="444"/>
      <c r="I172" s="444"/>
      <c r="J172" s="444"/>
      <c r="K172" s="444"/>
      <c r="L172" s="444"/>
      <c r="M172" s="444"/>
      <c r="N172" s="444"/>
      <c r="O172" s="444"/>
      <c r="P172" s="444"/>
      <c r="Q172" s="444"/>
      <c r="R172" s="444"/>
      <c r="S172" s="444"/>
      <c r="T172" s="444"/>
      <c r="U172" s="1"/>
      <c r="V172" s="1"/>
    </row>
    <row r="173" spans="1:22">
      <c r="A173" s="449" t="s">
        <v>30</v>
      </c>
      <c r="B173" s="79"/>
      <c r="C173" s="450"/>
      <c r="D173" s="442"/>
      <c r="E173" s="86"/>
      <c r="F173" s="86"/>
      <c r="G173" s="86">
        <f t="shared" si="29"/>
        <v>0</v>
      </c>
      <c r="H173" s="444"/>
      <c r="I173" s="444"/>
      <c r="J173" s="444"/>
      <c r="K173" s="444"/>
      <c r="L173" s="444"/>
      <c r="M173" s="444"/>
      <c r="N173" s="444"/>
      <c r="O173" s="444"/>
      <c r="P173" s="444"/>
      <c r="Q173" s="444"/>
      <c r="R173" s="444"/>
      <c r="S173" s="444"/>
      <c r="T173" s="444"/>
      <c r="U173" s="1"/>
      <c r="V173" s="1"/>
    </row>
    <row r="174" spans="1:22">
      <c r="A174" s="449" t="s">
        <v>31</v>
      </c>
      <c r="B174" s="79"/>
      <c r="C174" s="450"/>
      <c r="D174" s="442"/>
      <c r="E174" s="86"/>
      <c r="F174" s="86"/>
      <c r="G174" s="86">
        <f t="shared" si="29"/>
        <v>0</v>
      </c>
      <c r="H174" s="444"/>
      <c r="I174" s="444"/>
      <c r="J174" s="444"/>
      <c r="K174" s="444"/>
      <c r="L174" s="444"/>
      <c r="M174" s="444"/>
      <c r="N174" s="444"/>
      <c r="O174" s="444"/>
      <c r="P174" s="444"/>
      <c r="Q174" s="444"/>
      <c r="R174" s="444"/>
      <c r="S174" s="444"/>
      <c r="T174" s="444"/>
      <c r="U174" s="1"/>
      <c r="V174" s="1"/>
    </row>
    <row r="175" spans="1:22">
      <c r="A175" s="449" t="s">
        <v>32</v>
      </c>
      <c r="B175" s="79"/>
      <c r="C175" s="450"/>
      <c r="D175" s="442"/>
      <c r="E175" s="86"/>
      <c r="F175" s="86"/>
      <c r="G175" s="86">
        <f t="shared" si="29"/>
        <v>0</v>
      </c>
      <c r="H175" s="444"/>
      <c r="I175" s="444"/>
      <c r="J175" s="444"/>
      <c r="K175" s="444"/>
      <c r="L175" s="444"/>
      <c r="M175" s="444"/>
      <c r="N175" s="444"/>
      <c r="O175" s="444"/>
      <c r="P175" s="444"/>
      <c r="Q175" s="444"/>
      <c r="R175" s="444"/>
      <c r="S175" s="444"/>
      <c r="T175" s="444"/>
      <c r="U175" s="1"/>
      <c r="V175" s="1"/>
    </row>
    <row r="176" spans="1:22">
      <c r="A176" s="449" t="s">
        <v>33</v>
      </c>
      <c r="B176" s="79"/>
      <c r="C176" s="450"/>
      <c r="D176" s="442"/>
      <c r="E176" s="86"/>
      <c r="F176" s="86"/>
      <c r="G176" s="86">
        <f t="shared" si="29"/>
        <v>0</v>
      </c>
      <c r="H176" s="444"/>
      <c r="I176" s="444"/>
      <c r="J176" s="444"/>
      <c r="K176" s="444"/>
      <c r="L176" s="444"/>
      <c r="M176" s="444"/>
      <c r="N176" s="444"/>
      <c r="O176" s="444"/>
      <c r="P176" s="444"/>
      <c r="Q176" s="444"/>
      <c r="R176" s="444"/>
      <c r="S176" s="444"/>
      <c r="T176" s="444"/>
      <c r="U176" s="1"/>
      <c r="V176" s="1"/>
    </row>
    <row r="177" spans="1:22">
      <c r="A177" s="449" t="s">
        <v>34</v>
      </c>
      <c r="B177" s="79"/>
      <c r="C177" s="450"/>
      <c r="D177" s="442"/>
      <c r="E177" s="86"/>
      <c r="F177" s="86"/>
      <c r="G177" s="86">
        <f t="shared" si="29"/>
        <v>0</v>
      </c>
      <c r="H177" s="444"/>
      <c r="I177" s="444"/>
      <c r="J177" s="444"/>
      <c r="K177" s="444"/>
      <c r="L177" s="444"/>
      <c r="M177" s="444"/>
      <c r="N177" s="444"/>
      <c r="O177" s="444"/>
      <c r="P177" s="444"/>
      <c r="Q177" s="444"/>
      <c r="R177" s="444"/>
      <c r="S177" s="444"/>
      <c r="T177" s="444"/>
      <c r="U177" s="1"/>
      <c r="V177" s="1"/>
    </row>
    <row r="178" spans="1:22">
      <c r="A178" s="449" t="s">
        <v>35</v>
      </c>
      <c r="B178" s="79"/>
      <c r="C178" s="450"/>
      <c r="D178" s="442"/>
      <c r="E178" s="86"/>
      <c r="F178" s="86"/>
      <c r="G178" s="86">
        <f t="shared" si="29"/>
        <v>0</v>
      </c>
      <c r="H178" s="444"/>
      <c r="I178" s="444"/>
      <c r="J178" s="444"/>
      <c r="K178" s="444"/>
      <c r="L178" s="444"/>
      <c r="M178" s="444"/>
      <c r="N178" s="444"/>
      <c r="O178" s="444"/>
      <c r="P178" s="444"/>
      <c r="Q178" s="444"/>
      <c r="R178" s="444"/>
      <c r="S178" s="444"/>
      <c r="T178" s="444"/>
      <c r="U178" s="1"/>
      <c r="V178" s="1"/>
    </row>
    <row r="179" spans="1:22">
      <c r="A179" s="449" t="s">
        <v>36</v>
      </c>
      <c r="B179" s="79"/>
      <c r="C179" s="450"/>
      <c r="D179" s="442"/>
      <c r="E179" s="86"/>
      <c r="F179" s="86"/>
      <c r="G179" s="86">
        <f t="shared" si="29"/>
        <v>0</v>
      </c>
      <c r="H179" s="444"/>
      <c r="I179" s="444"/>
      <c r="J179" s="444"/>
      <c r="K179" s="444"/>
      <c r="L179" s="444"/>
      <c r="M179" s="444"/>
      <c r="N179" s="444"/>
      <c r="O179" s="444"/>
      <c r="P179" s="444"/>
      <c r="Q179" s="444"/>
      <c r="R179" s="444"/>
      <c r="S179" s="444"/>
      <c r="T179" s="444"/>
      <c r="U179" s="1"/>
      <c r="V179" s="1"/>
    </row>
    <row r="180" spans="1:22">
      <c r="A180" s="469" t="s">
        <v>37</v>
      </c>
      <c r="B180" s="79"/>
      <c r="C180" s="450"/>
      <c r="D180" s="470"/>
      <c r="E180" s="471">
        <f>E181</f>
        <v>0</v>
      </c>
      <c r="F180" s="471"/>
      <c r="G180" s="471">
        <f>G181</f>
        <v>0</v>
      </c>
      <c r="H180" s="472">
        <f>H181</f>
        <v>0</v>
      </c>
      <c r="I180" s="472">
        <f t="shared" ref="I180:S180" si="30">I181</f>
        <v>0</v>
      </c>
      <c r="J180" s="472">
        <f t="shared" si="30"/>
        <v>0</v>
      </c>
      <c r="K180" s="472">
        <f t="shared" si="30"/>
        <v>0</v>
      </c>
      <c r="L180" s="472">
        <f t="shared" si="30"/>
        <v>0</v>
      </c>
      <c r="M180" s="472">
        <f t="shared" si="30"/>
        <v>0</v>
      </c>
      <c r="N180" s="472">
        <f t="shared" si="30"/>
        <v>0</v>
      </c>
      <c r="O180" s="472">
        <f t="shared" si="30"/>
        <v>0</v>
      </c>
      <c r="P180" s="472">
        <f t="shared" si="30"/>
        <v>0</v>
      </c>
      <c r="Q180" s="472">
        <f t="shared" si="30"/>
        <v>0</v>
      </c>
      <c r="R180" s="472">
        <f t="shared" si="30"/>
        <v>0</v>
      </c>
      <c r="S180" s="472">
        <f t="shared" si="30"/>
        <v>0</v>
      </c>
      <c r="T180" s="472">
        <f>SUM(H180:S180)</f>
        <v>0</v>
      </c>
      <c r="U180" s="1"/>
      <c r="V180" s="1"/>
    </row>
    <row r="181" spans="1:22">
      <c r="A181" s="449" t="s">
        <v>38</v>
      </c>
      <c r="B181" s="79"/>
      <c r="C181" s="450"/>
      <c r="D181" s="442"/>
      <c r="E181" s="86">
        <f>E182</f>
        <v>0</v>
      </c>
      <c r="F181" s="86"/>
      <c r="G181" s="86">
        <f>G182</f>
        <v>0</v>
      </c>
      <c r="H181" s="444">
        <f t="shared" ref="H181:T181" si="31">H182</f>
        <v>0</v>
      </c>
      <c r="I181" s="444">
        <f t="shared" si="31"/>
        <v>0</v>
      </c>
      <c r="J181" s="444">
        <f t="shared" si="31"/>
        <v>0</v>
      </c>
      <c r="K181" s="444">
        <f t="shared" si="31"/>
        <v>0</v>
      </c>
      <c r="L181" s="444">
        <f t="shared" si="31"/>
        <v>0</v>
      </c>
      <c r="M181" s="444">
        <f t="shared" si="31"/>
        <v>0</v>
      </c>
      <c r="N181" s="444">
        <f t="shared" si="31"/>
        <v>0</v>
      </c>
      <c r="O181" s="444">
        <f t="shared" si="31"/>
        <v>0</v>
      </c>
      <c r="P181" s="444">
        <f t="shared" si="31"/>
        <v>0</v>
      </c>
      <c r="Q181" s="444">
        <f t="shared" si="31"/>
        <v>0</v>
      </c>
      <c r="R181" s="444">
        <f t="shared" si="31"/>
        <v>0</v>
      </c>
      <c r="S181" s="444">
        <f t="shared" si="31"/>
        <v>0</v>
      </c>
      <c r="T181" s="444">
        <f t="shared" si="31"/>
        <v>0</v>
      </c>
      <c r="U181" s="1"/>
      <c r="V181" s="1"/>
    </row>
    <row r="182" spans="1:22">
      <c r="A182" s="473" t="s">
        <v>54</v>
      </c>
      <c r="B182" s="446"/>
      <c r="C182" s="447"/>
      <c r="D182" s="80"/>
      <c r="E182" s="86"/>
      <c r="F182" s="86"/>
      <c r="G182" s="86">
        <f>F182*E182</f>
        <v>0</v>
      </c>
      <c r="H182" s="474">
        <v>0</v>
      </c>
      <c r="I182" s="474">
        <v>0</v>
      </c>
      <c r="J182" s="474">
        <v>0</v>
      </c>
      <c r="K182" s="474">
        <v>0</v>
      </c>
      <c r="L182" s="474">
        <v>0</v>
      </c>
      <c r="M182" s="474">
        <v>0</v>
      </c>
      <c r="N182" s="474">
        <v>0</v>
      </c>
      <c r="O182" s="474">
        <v>0</v>
      </c>
      <c r="P182" s="474">
        <v>0</v>
      </c>
      <c r="Q182" s="474">
        <v>0</v>
      </c>
      <c r="R182" s="474">
        <v>0</v>
      </c>
      <c r="S182" s="474">
        <v>0</v>
      </c>
      <c r="T182" s="88">
        <f>H182+I182+J182+K182+L182+M182+N182+O182+P182+Q182+R182+S182</f>
        <v>0</v>
      </c>
      <c r="U182" s="1"/>
      <c r="V182" s="1"/>
    </row>
    <row r="183" spans="1:22">
      <c r="A183" s="440" t="s">
        <v>195</v>
      </c>
      <c r="B183" s="446"/>
      <c r="C183" s="447"/>
      <c r="D183" s="80"/>
      <c r="E183" s="443">
        <f>SUM(E184:E192)</f>
        <v>15220</v>
      </c>
      <c r="F183" s="86"/>
      <c r="G183" s="443">
        <f>SUM(G184:G192)</f>
        <v>61856.2</v>
      </c>
      <c r="H183" s="475">
        <f>H193</f>
        <v>0</v>
      </c>
      <c r="I183" s="475">
        <f t="shared" ref="I183:S183" si="32">I193</f>
        <v>0</v>
      </c>
      <c r="J183" s="475">
        <f t="shared" si="32"/>
        <v>0</v>
      </c>
      <c r="K183" s="475">
        <f t="shared" si="32"/>
        <v>0</v>
      </c>
      <c r="L183" s="475">
        <f t="shared" si="32"/>
        <v>0</v>
      </c>
      <c r="M183" s="475">
        <f t="shared" si="32"/>
        <v>0</v>
      </c>
      <c r="N183" s="475">
        <f t="shared" si="32"/>
        <v>0</v>
      </c>
      <c r="O183" s="475">
        <f t="shared" si="32"/>
        <v>0</v>
      </c>
      <c r="P183" s="475">
        <f t="shared" si="32"/>
        <v>0</v>
      </c>
      <c r="Q183" s="475">
        <v>14806.25</v>
      </c>
      <c r="R183" s="475">
        <f t="shared" si="32"/>
        <v>0</v>
      </c>
      <c r="S183" s="475">
        <f t="shared" si="32"/>
        <v>0</v>
      </c>
      <c r="T183" s="475">
        <f>SUM(H183:S183)</f>
        <v>14806.25</v>
      </c>
      <c r="U183" s="1"/>
      <c r="V183" s="1"/>
    </row>
    <row r="184" spans="1:22" ht="25.5" hidden="1" customHeight="1">
      <c r="A184" s="468" t="s">
        <v>142</v>
      </c>
      <c r="B184" s="445" t="s">
        <v>307</v>
      </c>
      <c r="C184" s="74" t="s">
        <v>180</v>
      </c>
      <c r="D184" s="80">
        <v>150885</v>
      </c>
      <c r="E184" s="86">
        <v>500</v>
      </c>
      <c r="F184" s="86">
        <v>0.45</v>
      </c>
      <c r="G184" s="86">
        <f t="shared" ref="G184:G192" si="33">(E184*F184)*1.15</f>
        <v>258.75</v>
      </c>
      <c r="H184" s="475"/>
      <c r="I184" s="475"/>
      <c r="J184" s="475"/>
      <c r="K184" s="475"/>
      <c r="L184" s="475"/>
      <c r="M184" s="475"/>
      <c r="N184" s="475"/>
      <c r="O184" s="475"/>
      <c r="P184" s="475"/>
      <c r="Q184" s="475"/>
      <c r="R184" s="475"/>
      <c r="S184" s="475"/>
      <c r="T184" s="475"/>
      <c r="U184" s="1"/>
      <c r="V184" s="1"/>
    </row>
    <row r="185" spans="1:22" ht="22.5" hidden="1" customHeight="1">
      <c r="A185" s="468" t="s">
        <v>143</v>
      </c>
      <c r="B185" s="445" t="s">
        <v>307</v>
      </c>
      <c r="C185" s="74" t="s">
        <v>180</v>
      </c>
      <c r="D185" s="80">
        <v>150885</v>
      </c>
      <c r="E185" s="86">
        <v>5000</v>
      </c>
      <c r="F185" s="86">
        <v>0.57999999999999996</v>
      </c>
      <c r="G185" s="86">
        <f t="shared" si="33"/>
        <v>3334.9999999999995</v>
      </c>
      <c r="H185" s="475"/>
      <c r="I185" s="475"/>
      <c r="J185" s="475"/>
      <c r="K185" s="475"/>
      <c r="L185" s="475"/>
      <c r="M185" s="475"/>
      <c r="N185" s="475"/>
      <c r="O185" s="475"/>
      <c r="P185" s="475"/>
      <c r="Q185" s="475"/>
      <c r="R185" s="475"/>
      <c r="S185" s="475"/>
      <c r="T185" s="475"/>
      <c r="U185" s="1"/>
      <c r="V185" s="1"/>
    </row>
    <row r="186" spans="1:22" ht="21.75" hidden="1" customHeight="1">
      <c r="A186" s="468" t="s">
        <v>144</v>
      </c>
      <c r="B186" s="445" t="s">
        <v>307</v>
      </c>
      <c r="C186" s="74" t="s">
        <v>180</v>
      </c>
      <c r="D186" s="80">
        <v>150885</v>
      </c>
      <c r="E186" s="86">
        <v>1000</v>
      </c>
      <c r="F186" s="86">
        <v>0.76</v>
      </c>
      <c r="G186" s="86">
        <f t="shared" si="33"/>
        <v>873.99999999999989</v>
      </c>
      <c r="H186" s="475"/>
      <c r="I186" s="475"/>
      <c r="J186" s="475"/>
      <c r="K186" s="475"/>
      <c r="L186" s="475"/>
      <c r="M186" s="475"/>
      <c r="N186" s="475"/>
      <c r="O186" s="475"/>
      <c r="P186" s="475"/>
      <c r="Q186" s="475"/>
      <c r="R186" s="475"/>
      <c r="S186" s="475"/>
      <c r="T186" s="475"/>
      <c r="U186" s="1"/>
      <c r="V186" s="1"/>
    </row>
    <row r="187" spans="1:22" ht="18" hidden="1" customHeight="1">
      <c r="A187" s="468" t="s">
        <v>145</v>
      </c>
      <c r="B187" s="445" t="s">
        <v>307</v>
      </c>
      <c r="C187" s="74" t="s">
        <v>180</v>
      </c>
      <c r="D187" s="80">
        <v>150885</v>
      </c>
      <c r="E187" s="86">
        <v>1000</v>
      </c>
      <c r="F187" s="86">
        <v>0.37</v>
      </c>
      <c r="G187" s="86">
        <f t="shared" si="33"/>
        <v>425.49999999999994</v>
      </c>
      <c r="H187" s="475"/>
      <c r="I187" s="475"/>
      <c r="J187" s="475"/>
      <c r="K187" s="475"/>
      <c r="L187" s="475"/>
      <c r="M187" s="475"/>
      <c r="N187" s="475"/>
      <c r="O187" s="475"/>
      <c r="P187" s="475"/>
      <c r="Q187" s="475"/>
      <c r="R187" s="475"/>
      <c r="S187" s="475"/>
      <c r="T187" s="475"/>
      <c r="U187" s="1"/>
      <c r="V187" s="1"/>
    </row>
    <row r="188" spans="1:22" ht="24" hidden="1" customHeight="1">
      <c r="A188" s="468" t="s">
        <v>146</v>
      </c>
      <c r="B188" s="445" t="s">
        <v>306</v>
      </c>
      <c r="C188" s="74" t="s">
        <v>180</v>
      </c>
      <c r="D188" s="80">
        <v>150592</v>
      </c>
      <c r="E188" s="86">
        <v>1620</v>
      </c>
      <c r="F188" s="86">
        <v>2.25</v>
      </c>
      <c r="G188" s="86">
        <f t="shared" si="33"/>
        <v>4191.75</v>
      </c>
      <c r="H188" s="475"/>
      <c r="I188" s="475"/>
      <c r="J188" s="475"/>
      <c r="K188" s="475"/>
      <c r="L188" s="475"/>
      <c r="M188" s="475"/>
      <c r="N188" s="475"/>
      <c r="O188" s="475"/>
      <c r="P188" s="475"/>
      <c r="Q188" s="475"/>
      <c r="R188" s="475"/>
      <c r="S188" s="475"/>
      <c r="T188" s="475"/>
      <c r="U188" s="1"/>
      <c r="V188" s="1"/>
    </row>
    <row r="189" spans="1:22" ht="22.5" hidden="1" customHeight="1">
      <c r="A189" s="468" t="s">
        <v>147</v>
      </c>
      <c r="B189" s="445" t="s">
        <v>306</v>
      </c>
      <c r="C189" s="74" t="s">
        <v>180</v>
      </c>
      <c r="D189" s="80">
        <v>150592</v>
      </c>
      <c r="E189" s="86">
        <v>700</v>
      </c>
      <c r="F189" s="86">
        <v>2.25</v>
      </c>
      <c r="G189" s="86">
        <f t="shared" si="33"/>
        <v>1811.2499999999998</v>
      </c>
      <c r="H189" s="475"/>
      <c r="I189" s="475"/>
      <c r="J189" s="475"/>
      <c r="K189" s="475"/>
      <c r="L189" s="475"/>
      <c r="M189" s="475"/>
      <c r="N189" s="475"/>
      <c r="O189" s="475"/>
      <c r="P189" s="475"/>
      <c r="Q189" s="475"/>
      <c r="R189" s="475"/>
      <c r="S189" s="475"/>
      <c r="T189" s="475"/>
      <c r="U189" s="1"/>
      <c r="V189" s="1"/>
    </row>
    <row r="190" spans="1:22" ht="23.25" hidden="1" customHeight="1">
      <c r="A190" s="468" t="s">
        <v>196</v>
      </c>
      <c r="B190" s="445" t="s">
        <v>246</v>
      </c>
      <c r="C190" s="445" t="s">
        <v>307</v>
      </c>
      <c r="D190" s="80">
        <v>444531</v>
      </c>
      <c r="E190" s="86">
        <v>4000</v>
      </c>
      <c r="F190" s="86">
        <v>1.7</v>
      </c>
      <c r="G190" s="86">
        <f t="shared" si="33"/>
        <v>7819.9999999999991</v>
      </c>
      <c r="H190" s="475"/>
      <c r="I190" s="475"/>
      <c r="J190" s="475"/>
      <c r="K190" s="475"/>
      <c r="L190" s="475"/>
      <c r="M190" s="475"/>
      <c r="N190" s="475"/>
      <c r="O190" s="475"/>
      <c r="P190" s="475"/>
      <c r="Q190" s="475"/>
      <c r="R190" s="475"/>
      <c r="S190" s="475"/>
      <c r="T190" s="475"/>
      <c r="U190" s="1"/>
      <c r="V190" s="1"/>
    </row>
    <row r="191" spans="1:22" ht="23.25" hidden="1" customHeight="1">
      <c r="A191" s="468" t="s">
        <v>313</v>
      </c>
      <c r="B191" s="445" t="s">
        <v>307</v>
      </c>
      <c r="C191" s="445" t="s">
        <v>307</v>
      </c>
      <c r="D191" s="80">
        <v>150885</v>
      </c>
      <c r="E191" s="86">
        <v>700</v>
      </c>
      <c r="F191" s="86">
        <v>26.6</v>
      </c>
      <c r="G191" s="86">
        <f t="shared" si="33"/>
        <v>21413</v>
      </c>
      <c r="H191" s="475"/>
      <c r="I191" s="475"/>
      <c r="J191" s="475"/>
      <c r="K191" s="475"/>
      <c r="L191" s="475"/>
      <c r="M191" s="475"/>
      <c r="N191" s="475"/>
      <c r="O191" s="475"/>
      <c r="P191" s="475"/>
      <c r="Q191" s="475"/>
      <c r="R191" s="475"/>
      <c r="S191" s="475"/>
      <c r="T191" s="475"/>
      <c r="U191" s="1"/>
      <c r="V191" s="1"/>
    </row>
    <row r="192" spans="1:22" ht="23.25" hidden="1" customHeight="1">
      <c r="A192" s="468" t="s">
        <v>314</v>
      </c>
      <c r="B192" s="445" t="s">
        <v>307</v>
      </c>
      <c r="C192" s="445" t="s">
        <v>307</v>
      </c>
      <c r="D192" s="80">
        <v>150885</v>
      </c>
      <c r="E192" s="86">
        <v>700</v>
      </c>
      <c r="F192" s="86">
        <v>26.99</v>
      </c>
      <c r="G192" s="86">
        <f t="shared" si="33"/>
        <v>21726.949999999997</v>
      </c>
      <c r="H192" s="475"/>
      <c r="I192" s="475"/>
      <c r="J192" s="475"/>
      <c r="K192" s="475"/>
      <c r="L192" s="475"/>
      <c r="M192" s="475"/>
      <c r="N192" s="475"/>
      <c r="O192" s="475"/>
      <c r="P192" s="475"/>
      <c r="Q192" s="475"/>
      <c r="R192" s="475"/>
      <c r="S192" s="475"/>
      <c r="T192" s="475"/>
      <c r="U192" s="1"/>
      <c r="V192" s="1"/>
    </row>
    <row r="193" spans="1:22">
      <c r="A193" s="449" t="s">
        <v>39</v>
      </c>
      <c r="B193" s="79"/>
      <c r="C193" s="441"/>
      <c r="D193" s="442"/>
      <c r="E193" s="86"/>
      <c r="F193" s="86"/>
      <c r="G193" s="86">
        <v>0</v>
      </c>
      <c r="H193" s="444">
        <v>0</v>
      </c>
      <c r="I193" s="444">
        <v>0</v>
      </c>
      <c r="J193" s="444">
        <v>0</v>
      </c>
      <c r="K193" s="444">
        <v>0</v>
      </c>
      <c r="L193" s="444">
        <v>0</v>
      </c>
      <c r="M193" s="444">
        <v>0</v>
      </c>
      <c r="N193" s="444">
        <v>0</v>
      </c>
      <c r="O193" s="444">
        <v>0</v>
      </c>
      <c r="P193" s="444">
        <v>0</v>
      </c>
      <c r="Q193" s="444">
        <v>0</v>
      </c>
      <c r="R193" s="444">
        <v>0</v>
      </c>
      <c r="S193" s="444">
        <v>0</v>
      </c>
      <c r="T193" s="444">
        <f>SUM(H193:S193)</f>
        <v>0</v>
      </c>
      <c r="U193" s="1"/>
      <c r="V193" s="1"/>
    </row>
    <row r="194" spans="1:22">
      <c r="A194" s="476" t="s">
        <v>40</v>
      </c>
      <c r="B194" s="446"/>
      <c r="C194" s="477"/>
      <c r="D194" s="80"/>
      <c r="E194" s="86">
        <f>SUM(E195:E200)</f>
        <v>0</v>
      </c>
      <c r="F194" s="86"/>
      <c r="G194" s="86">
        <f t="shared" ref="G194" si="34">SUM(G195:G200)</f>
        <v>0</v>
      </c>
      <c r="H194" s="475">
        <f>SUM(H195:H200)</f>
        <v>0</v>
      </c>
      <c r="I194" s="475">
        <f t="shared" ref="I194:S194" si="35">SUM(I195:I200)</f>
        <v>0</v>
      </c>
      <c r="J194" s="475">
        <f t="shared" si="35"/>
        <v>0</v>
      </c>
      <c r="K194" s="475">
        <f t="shared" si="35"/>
        <v>0</v>
      </c>
      <c r="L194" s="475">
        <f t="shared" si="35"/>
        <v>0</v>
      </c>
      <c r="M194" s="475">
        <f t="shared" si="35"/>
        <v>0</v>
      </c>
      <c r="N194" s="475">
        <f t="shared" si="35"/>
        <v>0</v>
      </c>
      <c r="O194" s="475">
        <f t="shared" si="35"/>
        <v>0</v>
      </c>
      <c r="P194" s="475">
        <f t="shared" si="35"/>
        <v>0</v>
      </c>
      <c r="Q194" s="475">
        <f t="shared" si="35"/>
        <v>0</v>
      </c>
      <c r="R194" s="475">
        <f t="shared" si="35"/>
        <v>0</v>
      </c>
      <c r="S194" s="475">
        <f t="shared" si="35"/>
        <v>0</v>
      </c>
      <c r="T194" s="475">
        <f>SUM(H194:S194)</f>
        <v>0</v>
      </c>
      <c r="U194" s="1"/>
      <c r="V194" s="1"/>
    </row>
    <row r="195" spans="1:22">
      <c r="A195" s="449" t="s">
        <v>41</v>
      </c>
      <c r="B195" s="79"/>
      <c r="C195" s="441"/>
      <c r="D195" s="442"/>
      <c r="E195" s="86"/>
      <c r="F195" s="86"/>
      <c r="G195" s="86">
        <f>F195*E195</f>
        <v>0</v>
      </c>
      <c r="H195" s="444"/>
      <c r="I195" s="444"/>
      <c r="J195" s="444"/>
      <c r="K195" s="444"/>
      <c r="L195" s="444"/>
      <c r="M195" s="444"/>
      <c r="N195" s="444"/>
      <c r="O195" s="444"/>
      <c r="P195" s="444"/>
      <c r="Q195" s="444"/>
      <c r="R195" s="444"/>
      <c r="S195" s="444"/>
      <c r="T195" s="444"/>
      <c r="U195" s="1"/>
      <c r="V195" s="1"/>
    </row>
    <row r="196" spans="1:22">
      <c r="A196" s="449" t="s">
        <v>42</v>
      </c>
      <c r="B196" s="79"/>
      <c r="C196" s="441"/>
      <c r="D196" s="442"/>
      <c r="E196" s="86"/>
      <c r="F196" s="86"/>
      <c r="G196" s="86">
        <f t="shared" ref="G196:G200" si="36">F196*E196</f>
        <v>0</v>
      </c>
      <c r="H196" s="444"/>
      <c r="I196" s="444"/>
      <c r="J196" s="444"/>
      <c r="K196" s="444"/>
      <c r="L196" s="444"/>
      <c r="M196" s="444"/>
      <c r="N196" s="444"/>
      <c r="O196" s="444"/>
      <c r="P196" s="444"/>
      <c r="Q196" s="444"/>
      <c r="R196" s="444"/>
      <c r="S196" s="444"/>
      <c r="T196" s="444"/>
      <c r="U196" s="1"/>
      <c r="V196" s="1"/>
    </row>
    <row r="197" spans="1:22">
      <c r="A197" s="449" t="s">
        <v>23</v>
      </c>
      <c r="B197" s="79"/>
      <c r="C197" s="441"/>
      <c r="D197" s="442"/>
      <c r="E197" s="86"/>
      <c r="F197" s="86"/>
      <c r="G197" s="86">
        <f t="shared" si="36"/>
        <v>0</v>
      </c>
      <c r="H197" s="444"/>
      <c r="I197" s="444"/>
      <c r="J197" s="444"/>
      <c r="K197" s="444"/>
      <c r="L197" s="444"/>
      <c r="M197" s="444"/>
      <c r="N197" s="444"/>
      <c r="O197" s="444"/>
      <c r="P197" s="444"/>
      <c r="Q197" s="444"/>
      <c r="R197" s="444"/>
      <c r="S197" s="444"/>
      <c r="T197" s="444"/>
      <c r="U197" s="1"/>
      <c r="V197" s="1"/>
    </row>
    <row r="198" spans="1:22">
      <c r="A198" s="449" t="s">
        <v>43</v>
      </c>
      <c r="B198" s="79"/>
      <c r="C198" s="441"/>
      <c r="D198" s="442"/>
      <c r="E198" s="86"/>
      <c r="F198" s="86"/>
      <c r="G198" s="86">
        <f t="shared" si="36"/>
        <v>0</v>
      </c>
      <c r="H198" s="444"/>
      <c r="I198" s="444"/>
      <c r="J198" s="444"/>
      <c r="K198" s="444"/>
      <c r="L198" s="444"/>
      <c r="M198" s="444"/>
      <c r="N198" s="444"/>
      <c r="O198" s="444"/>
      <c r="P198" s="444"/>
      <c r="Q198" s="444"/>
      <c r="R198" s="444"/>
      <c r="S198" s="444"/>
      <c r="T198" s="444"/>
      <c r="U198" s="1"/>
      <c r="V198" s="1"/>
    </row>
    <row r="199" spans="1:22">
      <c r="A199" s="449" t="s">
        <v>44</v>
      </c>
      <c r="B199" s="79"/>
      <c r="C199" s="441"/>
      <c r="D199" s="442"/>
      <c r="E199" s="86"/>
      <c r="F199" s="86"/>
      <c r="G199" s="86">
        <f t="shared" si="36"/>
        <v>0</v>
      </c>
      <c r="H199" s="444"/>
      <c r="I199" s="444"/>
      <c r="J199" s="444"/>
      <c r="K199" s="444"/>
      <c r="L199" s="444"/>
      <c r="M199" s="444"/>
      <c r="N199" s="444"/>
      <c r="O199" s="444"/>
      <c r="P199" s="444"/>
      <c r="Q199" s="444"/>
      <c r="R199" s="444"/>
      <c r="S199" s="444"/>
      <c r="T199" s="444"/>
      <c r="U199" s="1"/>
      <c r="V199" s="1"/>
    </row>
    <row r="200" spans="1:22">
      <c r="A200" s="449" t="s">
        <v>45</v>
      </c>
      <c r="B200" s="79"/>
      <c r="C200" s="441"/>
      <c r="D200" s="442"/>
      <c r="E200" s="86"/>
      <c r="F200" s="86"/>
      <c r="G200" s="86">
        <f t="shared" si="36"/>
        <v>0</v>
      </c>
      <c r="H200" s="444"/>
      <c r="I200" s="444"/>
      <c r="J200" s="444"/>
      <c r="K200" s="444"/>
      <c r="L200" s="444"/>
      <c r="M200" s="444"/>
      <c r="N200" s="444"/>
      <c r="O200" s="444"/>
      <c r="P200" s="444"/>
      <c r="Q200" s="444"/>
      <c r="R200" s="444"/>
      <c r="S200" s="444"/>
      <c r="T200" s="444"/>
      <c r="U200" s="1"/>
      <c r="V200" s="1"/>
    </row>
    <row r="201" spans="1:22" ht="19.5" thickBot="1">
      <c r="A201" s="8"/>
      <c r="B201" s="10"/>
      <c r="C201" s="6"/>
      <c r="D201" s="12"/>
      <c r="E201" s="5"/>
      <c r="F201" s="5"/>
      <c r="G201" s="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2" ht="27.75" thickTop="1" thickBot="1">
      <c r="A202" s="489" t="s">
        <v>316</v>
      </c>
      <c r="B202" s="10"/>
      <c r="C202" s="6"/>
      <c r="D202" s="12"/>
      <c r="E202" s="5"/>
      <c r="F202" s="5"/>
      <c r="G202" s="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2" s="16" customFormat="1" ht="40.5" customHeight="1" thickTop="1" thickBot="1">
      <c r="A203" s="488" t="s">
        <v>330</v>
      </c>
      <c r="B203" s="10"/>
      <c r="C203" s="6"/>
      <c r="D203" s="12"/>
      <c r="E203" s="5"/>
      <c r="F203" s="5"/>
      <c r="G203" s="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2" s="333" customFormat="1" ht="40.5" customHeight="1" thickTop="1">
      <c r="A204" s="334"/>
      <c r="B204" s="328"/>
      <c r="C204" s="329"/>
      <c r="D204" s="330"/>
      <c r="E204" s="331"/>
      <c r="F204" s="331"/>
      <c r="G204" s="331"/>
      <c r="H204" s="332"/>
      <c r="I204" s="332"/>
      <c r="J204" s="332"/>
      <c r="K204" s="332"/>
      <c r="L204" s="332"/>
      <c r="M204" s="332"/>
      <c r="N204" s="332"/>
      <c r="O204" s="332"/>
      <c r="P204" s="332"/>
      <c r="Q204" s="332"/>
      <c r="R204" s="332"/>
      <c r="S204" s="332"/>
      <c r="T204" s="332"/>
    </row>
    <row r="205" spans="1:22" s="16" customFormat="1" ht="54.75" customHeight="1">
      <c r="A205" s="335" t="s">
        <v>53</v>
      </c>
      <c r="B205" s="51" t="s">
        <v>0</v>
      </c>
      <c r="C205" s="51" t="s">
        <v>1</v>
      </c>
      <c r="D205" s="51" t="s">
        <v>2</v>
      </c>
      <c r="E205" s="51" t="s">
        <v>3</v>
      </c>
      <c r="F205" s="51" t="s">
        <v>4</v>
      </c>
      <c r="G205" s="51" t="s">
        <v>5</v>
      </c>
      <c r="H205" s="51" t="s">
        <v>6</v>
      </c>
      <c r="I205" s="51" t="s">
        <v>7</v>
      </c>
      <c r="J205" s="51" t="s">
        <v>8</v>
      </c>
      <c r="K205" s="51" t="s">
        <v>9</v>
      </c>
      <c r="L205" s="51" t="s">
        <v>10</v>
      </c>
      <c r="M205" s="51" t="s">
        <v>11</v>
      </c>
      <c r="N205" s="51" t="s">
        <v>12</v>
      </c>
    </row>
    <row r="206" spans="1:22">
      <c r="A206" s="92" t="s">
        <v>326</v>
      </c>
      <c r="B206" s="94">
        <v>250000</v>
      </c>
      <c r="C206" s="94">
        <v>475000</v>
      </c>
      <c r="D206" s="94">
        <v>475000</v>
      </c>
      <c r="E206" s="94">
        <v>475000</v>
      </c>
      <c r="F206" s="94">
        <v>500000</v>
      </c>
      <c r="G206" s="94">
        <v>550000</v>
      </c>
      <c r="H206" s="94">
        <v>650000</v>
      </c>
      <c r="I206" s="94">
        <v>700000</v>
      </c>
      <c r="J206" s="94">
        <v>700000</v>
      </c>
      <c r="K206" s="94">
        <v>700000</v>
      </c>
      <c r="L206" s="94">
        <v>525000</v>
      </c>
      <c r="M206" s="94">
        <v>250000</v>
      </c>
      <c r="N206" s="94">
        <f>B206+C206+D206+E206+F206+G206+H206+I206+J206+K206+L206+M206</f>
        <v>6250000</v>
      </c>
    </row>
    <row r="207" spans="1:22">
      <c r="A207" s="95" t="s">
        <v>327</v>
      </c>
      <c r="B207" s="96">
        <f t="shared" ref="B207:N207" si="37">SUM(B208:B209)</f>
        <v>0</v>
      </c>
      <c r="C207" s="96">
        <f t="shared" si="37"/>
        <v>0</v>
      </c>
      <c r="D207" s="96">
        <f t="shared" si="37"/>
        <v>0</v>
      </c>
      <c r="E207" s="96">
        <f t="shared" si="37"/>
        <v>0</v>
      </c>
      <c r="F207" s="96">
        <f t="shared" si="37"/>
        <v>0</v>
      </c>
      <c r="G207" s="96">
        <f t="shared" si="37"/>
        <v>0</v>
      </c>
      <c r="H207" s="96">
        <f t="shared" si="37"/>
        <v>0</v>
      </c>
      <c r="I207" s="96">
        <f t="shared" si="37"/>
        <v>0</v>
      </c>
      <c r="J207" s="96">
        <f t="shared" si="37"/>
        <v>0</v>
      </c>
      <c r="K207" s="96">
        <f t="shared" si="37"/>
        <v>0</v>
      </c>
      <c r="L207" s="96">
        <f t="shared" si="37"/>
        <v>0</v>
      </c>
      <c r="M207" s="96">
        <f t="shared" si="37"/>
        <v>0</v>
      </c>
      <c r="N207" s="96">
        <f t="shared" si="37"/>
        <v>0</v>
      </c>
    </row>
    <row r="208" spans="1:22">
      <c r="A208" s="93" t="s">
        <v>328</v>
      </c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>
        <f>B208+C208+D208+E208+F208+G208+H208+I208+J208+K208+L208+M208</f>
        <v>0</v>
      </c>
    </row>
    <row r="209" spans="1:22">
      <c r="A209" s="93" t="s">
        <v>329</v>
      </c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>
        <f>B209+C209+D209+E209+F209+G209+H209+I209+J209+K209+L209+M209</f>
        <v>0</v>
      </c>
    </row>
    <row r="210" spans="1:2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 spans="1:2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 spans="1:22">
      <c r="A212" s="21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 spans="1:22" s="16" customFormat="1" ht="15.75" thickBot="1">
      <c r="A213" s="21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 spans="1:22" s="16" customFormat="1" ht="27.75" thickTop="1" thickBot="1">
      <c r="A214" s="489" t="s">
        <v>316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 spans="1:22" ht="27.75" thickTop="1" thickBot="1">
      <c r="A215" s="490" t="s">
        <v>433</v>
      </c>
    </row>
    <row r="216" spans="1:22" s="333" customFormat="1" ht="27" thickTop="1">
      <c r="A216" s="344"/>
      <c r="B216" s="339"/>
      <c r="C216" s="340"/>
      <c r="D216" s="341"/>
      <c r="E216" s="342"/>
      <c r="F216" s="342"/>
      <c r="G216" s="342"/>
      <c r="H216" s="343"/>
      <c r="I216" s="343"/>
      <c r="J216" s="343"/>
      <c r="K216" s="343"/>
      <c r="L216" s="343"/>
      <c r="M216" s="343"/>
      <c r="N216" s="343"/>
      <c r="O216" s="343"/>
      <c r="P216" s="343"/>
      <c r="Q216" s="343"/>
      <c r="R216" s="343"/>
      <c r="S216" s="343"/>
      <c r="T216" s="343"/>
    </row>
    <row r="217" spans="1:22" s="16" customFormat="1" ht="52.5">
      <c r="A217" s="625" t="s">
        <v>53</v>
      </c>
      <c r="B217" s="11"/>
      <c r="C217" s="7"/>
      <c r="D217" s="13"/>
      <c r="E217" s="4"/>
      <c r="F217" s="4"/>
      <c r="G217" s="4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1:22" s="16" customFormat="1" ht="26.25">
      <c r="A218" s="624"/>
      <c r="B218" s="11"/>
      <c r="C218" s="7"/>
      <c r="D218" s="13"/>
      <c r="E218" s="4"/>
      <c r="F218" s="4"/>
      <c r="G218" s="4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1:22" ht="30">
      <c r="A219" s="51" t="s">
        <v>331</v>
      </c>
      <c r="B219" s="51" t="s">
        <v>47</v>
      </c>
      <c r="C219" s="51" t="s">
        <v>319</v>
      </c>
      <c r="D219" s="51" t="s">
        <v>332</v>
      </c>
      <c r="E219" s="51" t="s">
        <v>321</v>
      </c>
      <c r="F219" s="51" t="s">
        <v>12</v>
      </c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</row>
    <row r="220" spans="1:22" ht="18.75">
      <c r="A220" s="478" t="s">
        <v>333</v>
      </c>
      <c r="B220" s="479" t="s">
        <v>334</v>
      </c>
      <c r="C220" s="479" t="s">
        <v>334</v>
      </c>
      <c r="D220" s="479" t="s">
        <v>334</v>
      </c>
      <c r="E220" s="479" t="s">
        <v>334</v>
      </c>
      <c r="F220" s="480">
        <f>F221+F231+F241+F243+F247+F251</f>
        <v>18680846.66</v>
      </c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</row>
    <row r="221" spans="1:22" ht="21">
      <c r="A221" s="27" t="s">
        <v>335</v>
      </c>
      <c r="B221" s="28"/>
      <c r="C221" s="28"/>
      <c r="D221" s="28"/>
      <c r="E221" s="28"/>
      <c r="F221" s="481">
        <f>SUM(F222:F230)</f>
        <v>1080680</v>
      </c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</row>
    <row r="222" spans="1:22" ht="45">
      <c r="A222" s="22" t="s">
        <v>336</v>
      </c>
      <c r="B222" s="22" t="s">
        <v>337</v>
      </c>
      <c r="C222" s="22" t="s">
        <v>338</v>
      </c>
      <c r="D222" s="26"/>
      <c r="E222" s="26"/>
      <c r="F222" s="25">
        <v>300000</v>
      </c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</row>
    <row r="223" spans="1:22" ht="45">
      <c r="A223" s="22" t="s">
        <v>339</v>
      </c>
      <c r="B223" s="22" t="s">
        <v>340</v>
      </c>
      <c r="C223" s="22" t="s">
        <v>341</v>
      </c>
      <c r="D223" s="26"/>
      <c r="E223" s="26"/>
      <c r="F223" s="25">
        <v>150000</v>
      </c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2" ht="45">
      <c r="A224" s="22" t="s">
        <v>342</v>
      </c>
      <c r="B224" s="22" t="s">
        <v>343</v>
      </c>
      <c r="C224" s="22" t="s">
        <v>344</v>
      </c>
      <c r="D224" s="26"/>
      <c r="E224" s="26"/>
      <c r="F224" s="25">
        <v>90000</v>
      </c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25" spans="1:20" ht="30">
      <c r="A225" s="22" t="s">
        <v>345</v>
      </c>
      <c r="B225" s="22" t="s">
        <v>346</v>
      </c>
      <c r="C225" s="22" t="s">
        <v>347</v>
      </c>
      <c r="D225" s="26"/>
      <c r="E225" s="26"/>
      <c r="F225" s="25">
        <v>60680</v>
      </c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</row>
    <row r="226" spans="1:20" ht="30">
      <c r="A226" s="22" t="s">
        <v>348</v>
      </c>
      <c r="B226" s="22" t="s">
        <v>349</v>
      </c>
      <c r="C226" s="22" t="s">
        <v>350</v>
      </c>
      <c r="D226" s="26"/>
      <c r="E226" s="26"/>
      <c r="F226" s="25">
        <v>74000</v>
      </c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</row>
    <row r="227" spans="1:20" ht="45">
      <c r="A227" s="22" t="s">
        <v>351</v>
      </c>
      <c r="B227" s="22" t="s">
        <v>352</v>
      </c>
      <c r="C227" s="22" t="s">
        <v>353</v>
      </c>
      <c r="D227" s="26"/>
      <c r="E227" s="26"/>
      <c r="F227" s="25">
        <v>72000</v>
      </c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</row>
    <row r="228" spans="1:20" ht="45">
      <c r="A228" s="22" t="s">
        <v>354</v>
      </c>
      <c r="B228" s="22" t="s">
        <v>355</v>
      </c>
      <c r="C228" s="22" t="s">
        <v>356</v>
      </c>
      <c r="D228" s="26"/>
      <c r="E228" s="26"/>
      <c r="F228" s="25">
        <v>84000</v>
      </c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</row>
    <row r="229" spans="1:20" ht="30">
      <c r="A229" s="22" t="s">
        <v>357</v>
      </c>
      <c r="B229" s="22" t="s">
        <v>358</v>
      </c>
      <c r="C229" s="22" t="s">
        <v>359</v>
      </c>
      <c r="D229" s="26"/>
      <c r="E229" s="26"/>
      <c r="F229" s="25">
        <v>50000</v>
      </c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</row>
    <row r="230" spans="1:20" ht="30">
      <c r="A230" s="22" t="s">
        <v>360</v>
      </c>
      <c r="B230" s="22" t="s">
        <v>361</v>
      </c>
      <c r="C230" s="22" t="s">
        <v>362</v>
      </c>
      <c r="D230" s="26"/>
      <c r="E230" s="26"/>
      <c r="F230" s="25">
        <v>200000</v>
      </c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</row>
    <row r="231" spans="1:20" ht="21">
      <c r="A231" s="27" t="s">
        <v>363</v>
      </c>
      <c r="B231" s="28"/>
      <c r="C231" s="28"/>
      <c r="D231" s="28"/>
      <c r="E231" s="28"/>
      <c r="F231" s="481">
        <f t="shared" ref="F231" si="38">SUM(F232:F240)</f>
        <v>345300</v>
      </c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</row>
    <row r="232" spans="1:20" ht="257.25" customHeight="1">
      <c r="A232" s="22" t="s">
        <v>364</v>
      </c>
      <c r="B232" s="22" t="s">
        <v>365</v>
      </c>
      <c r="C232" s="22" t="s">
        <v>366</v>
      </c>
      <c r="D232" s="23"/>
      <c r="E232" s="22" t="s">
        <v>367</v>
      </c>
      <c r="F232" s="25">
        <v>180000</v>
      </c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1:20" ht="60">
      <c r="A233" s="22" t="s">
        <v>368</v>
      </c>
      <c r="B233" s="22" t="s">
        <v>369</v>
      </c>
      <c r="C233" s="22" t="s">
        <v>370</v>
      </c>
      <c r="D233" s="23"/>
      <c r="E233" s="22" t="s">
        <v>371</v>
      </c>
      <c r="F233" s="25">
        <v>36000</v>
      </c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1:20" ht="30">
      <c r="A234" s="29" t="s">
        <v>372</v>
      </c>
      <c r="B234" s="22"/>
      <c r="C234" s="22"/>
      <c r="D234" s="23"/>
      <c r="E234" s="22"/>
      <c r="F234" s="25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1:20" ht="75">
      <c r="A235" s="22" t="s">
        <v>373</v>
      </c>
      <c r="B235" s="22" t="s">
        <v>374</v>
      </c>
      <c r="C235" s="22" t="s">
        <v>375</v>
      </c>
      <c r="D235" s="23"/>
      <c r="E235" s="22" t="s">
        <v>376</v>
      </c>
      <c r="F235" s="25">
        <v>58300</v>
      </c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</row>
    <row r="236" spans="1:20">
      <c r="A236" s="29" t="s">
        <v>377</v>
      </c>
      <c r="B236" s="22"/>
      <c r="C236" s="22"/>
      <c r="D236" s="23"/>
      <c r="E236" s="22"/>
      <c r="F236" s="25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</row>
    <row r="237" spans="1:20" ht="75">
      <c r="A237" s="482" t="s">
        <v>378</v>
      </c>
      <c r="B237" s="22" t="s">
        <v>379</v>
      </c>
      <c r="C237" s="22" t="s">
        <v>380</v>
      </c>
      <c r="D237" s="23"/>
      <c r="E237" s="24" t="s">
        <v>381</v>
      </c>
      <c r="F237" s="25">
        <v>8000</v>
      </c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</row>
    <row r="238" spans="1:20" ht="105">
      <c r="A238" s="22" t="s">
        <v>382</v>
      </c>
      <c r="B238" s="22" t="s">
        <v>383</v>
      </c>
      <c r="C238" s="22" t="s">
        <v>384</v>
      </c>
      <c r="D238" s="23"/>
      <c r="E238" s="22" t="s">
        <v>385</v>
      </c>
      <c r="F238" s="25">
        <v>45000</v>
      </c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</row>
    <row r="239" spans="1:20" ht="30">
      <c r="A239" s="29" t="s">
        <v>386</v>
      </c>
      <c r="B239" s="22"/>
      <c r="C239" s="22"/>
      <c r="D239" s="23"/>
      <c r="E239" s="22"/>
      <c r="F239" s="25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</row>
    <row r="240" spans="1:20" ht="60">
      <c r="A240" s="22" t="s">
        <v>387</v>
      </c>
      <c r="B240" s="22" t="s">
        <v>388</v>
      </c>
      <c r="C240" s="22" t="s">
        <v>389</v>
      </c>
      <c r="D240" s="26"/>
      <c r="E240" s="22" t="s">
        <v>385</v>
      </c>
      <c r="F240" s="25">
        <v>18000</v>
      </c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</row>
    <row r="241" spans="1:20" ht="21">
      <c r="A241" s="27" t="s">
        <v>390</v>
      </c>
      <c r="B241" s="28"/>
      <c r="C241" s="28"/>
      <c r="D241" s="28"/>
      <c r="E241" s="28"/>
      <c r="F241" s="481">
        <f t="shared" ref="F241" si="39">SUM(F242:F242)</f>
        <v>7400000</v>
      </c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</row>
    <row r="242" spans="1:20" ht="90">
      <c r="A242" s="22" t="s">
        <v>391</v>
      </c>
      <c r="B242" s="22" t="s">
        <v>392</v>
      </c>
      <c r="C242" s="24" t="s">
        <v>393</v>
      </c>
      <c r="D242" s="23"/>
      <c r="E242" s="22" t="s">
        <v>394</v>
      </c>
      <c r="F242" s="25">
        <v>7400000</v>
      </c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</row>
    <row r="243" spans="1:20" ht="21">
      <c r="A243" s="27" t="s">
        <v>395</v>
      </c>
      <c r="B243" s="28"/>
      <c r="C243" s="28"/>
      <c r="D243" s="28"/>
      <c r="E243" s="28"/>
      <c r="F243" s="481">
        <f t="shared" ref="F243" si="40">SUM(F244:F246)</f>
        <v>2266000</v>
      </c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</row>
    <row r="244" spans="1:20" ht="165" customHeight="1">
      <c r="A244" s="24" t="s">
        <v>396</v>
      </c>
      <c r="B244" s="24" t="s">
        <v>397</v>
      </c>
      <c r="C244" s="24" t="s">
        <v>398</v>
      </c>
      <c r="D244" s="483"/>
      <c r="E244" s="22" t="s">
        <v>399</v>
      </c>
      <c r="F244" s="25">
        <v>1366000</v>
      </c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</row>
    <row r="245" spans="1:20" ht="165">
      <c r="A245" s="24" t="s">
        <v>400</v>
      </c>
      <c r="B245" s="24" t="s">
        <v>401</v>
      </c>
      <c r="C245" s="24" t="s">
        <v>402</v>
      </c>
      <c r="D245" s="483"/>
      <c r="E245" s="22" t="s">
        <v>403</v>
      </c>
      <c r="F245" s="25">
        <v>700000</v>
      </c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</row>
    <row r="246" spans="1:20" ht="120">
      <c r="A246" s="24" t="s">
        <v>404</v>
      </c>
      <c r="B246" s="24" t="s">
        <v>405</v>
      </c>
      <c r="C246" s="24" t="s">
        <v>406</v>
      </c>
      <c r="D246" s="483"/>
      <c r="E246" s="22" t="s">
        <v>407</v>
      </c>
      <c r="F246" s="25">
        <v>200000</v>
      </c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</row>
    <row r="247" spans="1:20" ht="21">
      <c r="A247" s="27" t="s">
        <v>408</v>
      </c>
      <c r="B247" s="28"/>
      <c r="C247" s="28"/>
      <c r="D247" s="28"/>
      <c r="E247" s="28"/>
      <c r="F247" s="481">
        <f>SUM(F248:F250)</f>
        <v>5883866.6600000001</v>
      </c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</row>
    <row r="248" spans="1:20" ht="165">
      <c r="A248" s="22" t="s">
        <v>409</v>
      </c>
      <c r="B248" s="22" t="s">
        <v>410</v>
      </c>
      <c r="C248" s="22" t="s">
        <v>411</v>
      </c>
      <c r="D248" s="26"/>
      <c r="E248" s="484" t="s">
        <v>412</v>
      </c>
      <c r="F248" s="25">
        <v>983866.66</v>
      </c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</row>
    <row r="249" spans="1:20" ht="255">
      <c r="A249" s="22" t="s">
        <v>413</v>
      </c>
      <c r="B249" s="22" t="s">
        <v>414</v>
      </c>
      <c r="C249" s="22" t="s">
        <v>415</v>
      </c>
      <c r="D249" s="26"/>
      <c r="E249" s="484" t="s">
        <v>416</v>
      </c>
      <c r="F249" s="25">
        <v>2400000</v>
      </c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</row>
    <row r="250" spans="1:20" ht="285">
      <c r="A250" s="22" t="s">
        <v>417</v>
      </c>
      <c r="B250" s="22" t="s">
        <v>418</v>
      </c>
      <c r="C250" s="22" t="s">
        <v>419</v>
      </c>
      <c r="D250" s="26"/>
      <c r="E250" s="22" t="s">
        <v>420</v>
      </c>
      <c r="F250" s="25">
        <v>2500000</v>
      </c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21">
      <c r="A251" s="27" t="s">
        <v>421</v>
      </c>
      <c r="B251" s="28"/>
      <c r="C251" s="28"/>
      <c r="D251" s="28"/>
      <c r="E251" s="28"/>
      <c r="F251" s="481">
        <f>SUM(F253:F255)</f>
        <v>1705000</v>
      </c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52" spans="1:20" ht="30">
      <c r="A252" s="29" t="s">
        <v>372</v>
      </c>
      <c r="B252" s="28"/>
      <c r="C252" s="28"/>
      <c r="D252" s="28"/>
      <c r="E252" s="28"/>
      <c r="F252" s="481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</row>
    <row r="253" spans="1:20" ht="210">
      <c r="A253" s="22" t="s">
        <v>422</v>
      </c>
      <c r="B253" s="22" t="s">
        <v>423</v>
      </c>
      <c r="C253" s="22" t="s">
        <v>424</v>
      </c>
      <c r="D253" s="26"/>
      <c r="E253" s="22" t="s">
        <v>425</v>
      </c>
      <c r="F253" s="25">
        <v>745000</v>
      </c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</row>
    <row r="254" spans="1:20" ht="135">
      <c r="A254" s="22" t="s">
        <v>426</v>
      </c>
      <c r="B254" s="22" t="s">
        <v>427</v>
      </c>
      <c r="C254" s="22" t="s">
        <v>428</v>
      </c>
      <c r="D254" s="26"/>
      <c r="E254" s="22"/>
      <c r="F254" s="25">
        <v>60000</v>
      </c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</row>
    <row r="255" spans="1:20" ht="268.5" customHeight="1">
      <c r="A255" s="24" t="s">
        <v>429</v>
      </c>
      <c r="B255" s="22" t="s">
        <v>430</v>
      </c>
      <c r="C255" s="24" t="s">
        <v>431</v>
      </c>
      <c r="D255" s="30"/>
      <c r="E255" s="24" t="s">
        <v>432</v>
      </c>
      <c r="F255" s="25">
        <v>900000</v>
      </c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</row>
    <row r="256" spans="1:20" ht="15.75" thickBot="1"/>
    <row r="257" spans="1:20" ht="27.75" thickTop="1" thickBot="1">
      <c r="A257" s="488" t="s">
        <v>316</v>
      </c>
    </row>
    <row r="258" spans="1:20" ht="54" thickTop="1" thickBot="1">
      <c r="A258" s="491" t="s">
        <v>555</v>
      </c>
    </row>
    <row r="259" spans="1:20" s="16" customFormat="1" ht="27" thickTop="1">
      <c r="A259" s="31"/>
      <c r="B259" s="11"/>
      <c r="C259" s="7"/>
      <c r="D259" s="13"/>
      <c r="E259" s="4"/>
      <c r="F259" s="4"/>
      <c r="G259" s="4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ht="52.5">
      <c r="A260" s="71" t="s">
        <v>53</v>
      </c>
      <c r="B260" s="50" t="s">
        <v>47</v>
      </c>
      <c r="C260" s="50" t="s">
        <v>0</v>
      </c>
      <c r="D260" s="50" t="s">
        <v>1</v>
      </c>
      <c r="E260" s="50" t="s">
        <v>2</v>
      </c>
      <c r="F260" s="50" t="s">
        <v>3</v>
      </c>
      <c r="G260" s="50" t="s">
        <v>4</v>
      </c>
      <c r="H260" s="50" t="s">
        <v>5</v>
      </c>
      <c r="I260" s="50" t="s">
        <v>6</v>
      </c>
      <c r="J260" s="50" t="s">
        <v>7</v>
      </c>
      <c r="K260" s="50" t="s">
        <v>8</v>
      </c>
      <c r="L260" s="50" t="s">
        <v>9</v>
      </c>
      <c r="M260" s="50" t="s">
        <v>10</v>
      </c>
      <c r="N260" s="50" t="s">
        <v>11</v>
      </c>
      <c r="O260" s="50" t="s">
        <v>12</v>
      </c>
      <c r="P260"/>
      <c r="Q260"/>
      <c r="R260"/>
      <c r="S260"/>
      <c r="T260"/>
    </row>
    <row r="261" spans="1:20" ht="31.5" customHeight="1">
      <c r="A261" s="485" t="s">
        <v>434</v>
      </c>
      <c r="B261" s="486"/>
      <c r="C261" s="487">
        <f>C262+C265+C270+C279+C287+C320+C326+C330</f>
        <v>5424320.0099999998</v>
      </c>
      <c r="D261" s="487">
        <f t="shared" ref="D261:N261" si="41">D262+D265+D270+D279+D287+D320+D326+D330</f>
        <v>2726619.41</v>
      </c>
      <c r="E261" s="487">
        <f t="shared" si="41"/>
        <v>2740984.89</v>
      </c>
      <c r="F261" s="487">
        <f t="shared" si="41"/>
        <v>2676381</v>
      </c>
      <c r="G261" s="487">
        <f t="shared" si="41"/>
        <v>1237064.26</v>
      </c>
      <c r="H261" s="487">
        <f t="shared" si="41"/>
        <v>1207640.73</v>
      </c>
      <c r="I261" s="487">
        <f t="shared" si="41"/>
        <v>2243510.9500000002</v>
      </c>
      <c r="J261" s="487">
        <f t="shared" si="41"/>
        <v>849056.64</v>
      </c>
      <c r="K261" s="487">
        <f t="shared" si="41"/>
        <v>1235635.83</v>
      </c>
      <c r="L261" s="487">
        <f t="shared" si="41"/>
        <v>1191544.47</v>
      </c>
      <c r="M261" s="487">
        <f t="shared" si="41"/>
        <v>206911</v>
      </c>
      <c r="N261" s="487">
        <f t="shared" si="41"/>
        <v>495204.4</v>
      </c>
      <c r="O261" s="487">
        <f>SUM(C261:N261)</f>
        <v>22234873.589999996</v>
      </c>
      <c r="P261"/>
      <c r="Q261"/>
      <c r="R261"/>
      <c r="S261"/>
      <c r="T261"/>
    </row>
    <row r="262" spans="1:20">
      <c r="A262" s="63" t="s">
        <v>435</v>
      </c>
      <c r="B262" s="32"/>
      <c r="C262" s="33">
        <f>SUM(C263:C264)</f>
        <v>0</v>
      </c>
      <c r="D262" s="33">
        <f t="shared" ref="D262:O262" si="42">SUM(D263:D264)</f>
        <v>70000</v>
      </c>
      <c r="E262" s="33">
        <f t="shared" si="42"/>
        <v>0</v>
      </c>
      <c r="F262" s="33">
        <f t="shared" si="42"/>
        <v>0</v>
      </c>
      <c r="G262" s="33">
        <f t="shared" si="42"/>
        <v>0</v>
      </c>
      <c r="H262" s="33">
        <f t="shared" si="42"/>
        <v>0</v>
      </c>
      <c r="I262" s="33">
        <f t="shared" si="42"/>
        <v>0</v>
      </c>
      <c r="J262" s="33">
        <f t="shared" si="42"/>
        <v>0</v>
      </c>
      <c r="K262" s="33">
        <f t="shared" si="42"/>
        <v>0</v>
      </c>
      <c r="L262" s="33">
        <f>SUM(L263:L264)</f>
        <v>30000</v>
      </c>
      <c r="M262" s="33">
        <f t="shared" si="42"/>
        <v>0</v>
      </c>
      <c r="N262" s="33">
        <f t="shared" si="42"/>
        <v>0</v>
      </c>
      <c r="O262" s="33">
        <f t="shared" si="42"/>
        <v>100000</v>
      </c>
      <c r="P262"/>
      <c r="Q262"/>
      <c r="R262"/>
      <c r="S262"/>
      <c r="T262"/>
    </row>
    <row r="263" spans="1:20" ht="35.25" customHeight="1">
      <c r="A263" s="64" t="s">
        <v>436</v>
      </c>
      <c r="B263" s="34" t="s">
        <v>437</v>
      </c>
      <c r="C263" s="35"/>
      <c r="D263" s="35">
        <v>70000</v>
      </c>
      <c r="E263" s="35"/>
      <c r="F263" s="35"/>
      <c r="G263" s="35"/>
      <c r="H263" s="35"/>
      <c r="I263" s="35"/>
      <c r="J263" s="35"/>
      <c r="K263" s="35"/>
      <c r="L263" s="35">
        <v>30000</v>
      </c>
      <c r="M263" s="35"/>
      <c r="N263" s="35"/>
      <c r="O263" s="35">
        <f>C263+D263+E263+F263+G263+H263+I263+J263+K263+L263+M263+N263</f>
        <v>100000</v>
      </c>
      <c r="P263"/>
      <c r="Q263"/>
      <c r="R263"/>
      <c r="S263"/>
      <c r="T263"/>
    </row>
    <row r="264" spans="1:20">
      <c r="A264" s="64"/>
      <c r="B264" s="34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>
        <f>C264+D264+E264+F264+G264+H264+I264+J264+K264+L264+M264+N264</f>
        <v>0</v>
      </c>
      <c r="P264"/>
      <c r="Q264"/>
      <c r="R264"/>
      <c r="S264"/>
      <c r="T264"/>
    </row>
    <row r="265" spans="1:20">
      <c r="A265" s="63" t="s">
        <v>438</v>
      </c>
      <c r="B265" s="32"/>
      <c r="C265" s="33">
        <f>SUM(C266:C267)</f>
        <v>0</v>
      </c>
      <c r="D265" s="33">
        <f t="shared" ref="D265:N265" si="43">SUM(D266:D267)</f>
        <v>0</v>
      </c>
      <c r="E265" s="33">
        <f t="shared" si="43"/>
        <v>0</v>
      </c>
      <c r="F265" s="33">
        <f t="shared" si="43"/>
        <v>0</v>
      </c>
      <c r="G265" s="33">
        <f t="shared" si="43"/>
        <v>0</v>
      </c>
      <c r="H265" s="33">
        <f t="shared" si="43"/>
        <v>0</v>
      </c>
      <c r="I265" s="33">
        <f t="shared" si="43"/>
        <v>0</v>
      </c>
      <c r="J265" s="33">
        <f t="shared" si="43"/>
        <v>0</v>
      </c>
      <c r="K265" s="33">
        <f t="shared" si="43"/>
        <v>0</v>
      </c>
      <c r="L265" s="33">
        <f t="shared" si="43"/>
        <v>0</v>
      </c>
      <c r="M265" s="33">
        <f t="shared" si="43"/>
        <v>0</v>
      </c>
      <c r="N265" s="33">
        <f t="shared" si="43"/>
        <v>0</v>
      </c>
      <c r="O265" s="33">
        <f t="shared" ref="O265" si="44">O266</f>
        <v>0</v>
      </c>
      <c r="P265"/>
      <c r="Q265"/>
      <c r="R265"/>
      <c r="S265"/>
      <c r="T265"/>
    </row>
    <row r="266" spans="1:20">
      <c r="A266" s="64"/>
      <c r="B266" s="34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>
        <f>C266+D266+E266+F266+G266+H266+I266+J266+K266+L266+M266+N266</f>
        <v>0</v>
      </c>
      <c r="P266"/>
      <c r="Q266"/>
      <c r="R266"/>
      <c r="S266"/>
      <c r="T266"/>
    </row>
    <row r="267" spans="1:20">
      <c r="A267" s="64"/>
      <c r="B267" s="34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>
        <f>C267+D267+E267+F267+G267+H267+I267+J267+K267+L267+M267+N267</f>
        <v>0</v>
      </c>
      <c r="P267"/>
      <c r="Q267"/>
      <c r="R267"/>
      <c r="S267"/>
      <c r="T267"/>
    </row>
    <row r="268" spans="1:20">
      <c r="A268" s="63" t="s">
        <v>28</v>
      </c>
      <c r="B268" s="32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3">
        <f>C268+D268+E268+F268+G268+H268+I268+J268+K268+L268+M268+N268</f>
        <v>0</v>
      </c>
      <c r="P268"/>
      <c r="Q268"/>
      <c r="R268"/>
      <c r="S268"/>
      <c r="T268"/>
    </row>
    <row r="269" spans="1:20">
      <c r="A269" s="63" t="s">
        <v>29</v>
      </c>
      <c r="B269" s="32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3">
        <f>C269+D269+E269+F269+G269+H269+I269+J269+K269+L269+M269+N269</f>
        <v>0</v>
      </c>
      <c r="P269"/>
      <c r="Q269"/>
      <c r="R269"/>
      <c r="S269"/>
      <c r="T269"/>
    </row>
    <row r="270" spans="1:20">
      <c r="A270" s="63" t="s">
        <v>439</v>
      </c>
      <c r="B270" s="32"/>
      <c r="C270" s="33">
        <f t="shared" ref="C270:N270" si="45">SUM(C271:C277)</f>
        <v>34390.58</v>
      </c>
      <c r="D270" s="33">
        <f t="shared" si="45"/>
        <v>34589.089999999997</v>
      </c>
      <c r="E270" s="33">
        <f t="shared" si="45"/>
        <v>34584.619999999995</v>
      </c>
      <c r="F270" s="33">
        <f t="shared" si="45"/>
        <v>34584.619999999995</v>
      </c>
      <c r="G270" s="33">
        <f t="shared" si="45"/>
        <v>34944.619999999995</v>
      </c>
      <c r="H270" s="33">
        <f t="shared" si="45"/>
        <v>34774.619999999995</v>
      </c>
      <c r="I270" s="33">
        <f t="shared" si="45"/>
        <v>35074.619999999995</v>
      </c>
      <c r="J270" s="33">
        <f t="shared" si="45"/>
        <v>35180</v>
      </c>
      <c r="K270" s="33">
        <f t="shared" si="45"/>
        <v>35180</v>
      </c>
      <c r="L270" s="33">
        <f t="shared" si="45"/>
        <v>35180</v>
      </c>
      <c r="M270" s="33">
        <f t="shared" si="45"/>
        <v>35180</v>
      </c>
      <c r="N270" s="33">
        <f t="shared" si="45"/>
        <v>35180</v>
      </c>
      <c r="O270" s="33">
        <f>SUM(C270:N270)</f>
        <v>418842.76999999996</v>
      </c>
      <c r="P270"/>
      <c r="Q270"/>
      <c r="R270"/>
      <c r="S270"/>
      <c r="T270"/>
    </row>
    <row r="271" spans="1:20" ht="30">
      <c r="A271" s="64" t="s">
        <v>440</v>
      </c>
      <c r="B271" s="34" t="s">
        <v>441</v>
      </c>
      <c r="C271" s="35">
        <v>6805.96</v>
      </c>
      <c r="D271" s="35">
        <v>5104.47</v>
      </c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>
        <f>SUM(C271:N271)</f>
        <v>11910.43</v>
      </c>
      <c r="P271"/>
      <c r="Q271"/>
      <c r="R271"/>
      <c r="S271"/>
      <c r="T271"/>
    </row>
    <row r="272" spans="1:20" ht="30">
      <c r="A272" s="64" t="s">
        <v>442</v>
      </c>
      <c r="B272" s="34" t="s">
        <v>441</v>
      </c>
      <c r="C272" s="35"/>
      <c r="D272" s="35">
        <v>1900</v>
      </c>
      <c r="E272" s="35">
        <v>7000</v>
      </c>
      <c r="F272" s="35">
        <v>7000</v>
      </c>
      <c r="G272" s="35">
        <v>7000</v>
      </c>
      <c r="H272" s="35">
        <v>7000</v>
      </c>
      <c r="I272" s="35">
        <v>7000</v>
      </c>
      <c r="J272" s="35">
        <v>7000</v>
      </c>
      <c r="K272" s="35">
        <v>7000</v>
      </c>
      <c r="L272" s="35">
        <v>7000</v>
      </c>
      <c r="M272" s="35">
        <v>7000</v>
      </c>
      <c r="N272" s="35">
        <v>7000</v>
      </c>
      <c r="O272" s="35">
        <f t="shared" ref="O272:O277" si="46">C272+D272+E272+F272+G272+H272+I272+J272+K272+L272+M272+N272</f>
        <v>71900</v>
      </c>
      <c r="P272"/>
      <c r="Q272"/>
      <c r="R272"/>
      <c r="S272"/>
      <c r="T272"/>
    </row>
    <row r="273" spans="1:20" ht="30">
      <c r="A273" s="64" t="s">
        <v>443</v>
      </c>
      <c r="B273" s="34" t="s">
        <v>444</v>
      </c>
      <c r="C273" s="35">
        <v>1894.62</v>
      </c>
      <c r="D273" s="35">
        <v>1894.62</v>
      </c>
      <c r="E273" s="35">
        <v>1894.62</v>
      </c>
      <c r="F273" s="35">
        <v>1894.62</v>
      </c>
      <c r="G273" s="35">
        <v>1894.62</v>
      </c>
      <c r="H273" s="35">
        <v>1894.62</v>
      </c>
      <c r="I273" s="35">
        <v>1894.62</v>
      </c>
      <c r="J273" s="35"/>
      <c r="K273" s="35"/>
      <c r="L273" s="35"/>
      <c r="M273" s="35"/>
      <c r="N273" s="35"/>
      <c r="O273" s="35">
        <f t="shared" si="46"/>
        <v>13262.339999999997</v>
      </c>
      <c r="P273"/>
      <c r="Q273"/>
      <c r="R273"/>
      <c r="S273"/>
      <c r="T273"/>
    </row>
    <row r="274" spans="1:20" ht="30">
      <c r="A274" s="64" t="s">
        <v>445</v>
      </c>
      <c r="B274" s="34" t="s">
        <v>444</v>
      </c>
      <c r="C274" s="35"/>
      <c r="D274" s="35"/>
      <c r="E274" s="35"/>
      <c r="F274" s="35"/>
      <c r="G274" s="35"/>
      <c r="H274" s="35"/>
      <c r="I274" s="35">
        <v>300</v>
      </c>
      <c r="J274" s="35">
        <v>2300</v>
      </c>
      <c r="K274" s="35">
        <v>2300</v>
      </c>
      <c r="L274" s="35">
        <v>2300</v>
      </c>
      <c r="M274" s="35">
        <v>2300</v>
      </c>
      <c r="N274" s="35">
        <v>2300</v>
      </c>
      <c r="O274" s="35">
        <f t="shared" si="46"/>
        <v>11800</v>
      </c>
      <c r="P274"/>
      <c r="Q274"/>
      <c r="R274"/>
      <c r="S274"/>
      <c r="T274"/>
    </row>
    <row r="275" spans="1:20" ht="30">
      <c r="A275" s="65" t="s">
        <v>446</v>
      </c>
      <c r="B275" s="34" t="s">
        <v>447</v>
      </c>
      <c r="C275" s="37">
        <v>690</v>
      </c>
      <c r="D275" s="37">
        <v>690</v>
      </c>
      <c r="E275" s="37">
        <v>690</v>
      </c>
      <c r="F275" s="37">
        <v>690</v>
      </c>
      <c r="G275" s="37">
        <v>460</v>
      </c>
      <c r="H275" s="37"/>
      <c r="I275" s="37"/>
      <c r="J275" s="37"/>
      <c r="K275" s="37"/>
      <c r="L275" s="37"/>
      <c r="M275" s="37"/>
      <c r="N275" s="37"/>
      <c r="O275" s="35">
        <f t="shared" si="46"/>
        <v>3220</v>
      </c>
      <c r="P275"/>
      <c r="Q275"/>
      <c r="R275"/>
      <c r="S275"/>
      <c r="T275"/>
    </row>
    <row r="276" spans="1:20" ht="30">
      <c r="A276" s="65" t="s">
        <v>448</v>
      </c>
      <c r="B276" s="34" t="s">
        <v>447</v>
      </c>
      <c r="C276" s="37"/>
      <c r="D276" s="37"/>
      <c r="E276" s="37"/>
      <c r="F276" s="37"/>
      <c r="G276" s="37">
        <v>590</v>
      </c>
      <c r="H276" s="37">
        <v>880</v>
      </c>
      <c r="I276" s="37">
        <v>880</v>
      </c>
      <c r="J276" s="37">
        <v>880</v>
      </c>
      <c r="K276" s="37">
        <v>880</v>
      </c>
      <c r="L276" s="37">
        <v>880</v>
      </c>
      <c r="M276" s="37">
        <v>880</v>
      </c>
      <c r="N276" s="37">
        <v>880</v>
      </c>
      <c r="O276" s="35">
        <f t="shared" si="46"/>
        <v>6750</v>
      </c>
      <c r="P276"/>
      <c r="Q276"/>
      <c r="R276"/>
      <c r="S276"/>
      <c r="T276"/>
    </row>
    <row r="277" spans="1:20" ht="30">
      <c r="A277" s="65" t="s">
        <v>449</v>
      </c>
      <c r="B277" s="36" t="s">
        <v>450</v>
      </c>
      <c r="C277" s="37">
        <v>25000</v>
      </c>
      <c r="D277" s="37">
        <v>25000</v>
      </c>
      <c r="E277" s="37">
        <v>25000</v>
      </c>
      <c r="F277" s="37">
        <v>25000</v>
      </c>
      <c r="G277" s="37">
        <v>25000</v>
      </c>
      <c r="H277" s="37">
        <v>25000</v>
      </c>
      <c r="I277" s="37">
        <v>25000</v>
      </c>
      <c r="J277" s="37">
        <v>25000</v>
      </c>
      <c r="K277" s="37">
        <v>25000</v>
      </c>
      <c r="L277" s="37">
        <v>25000</v>
      </c>
      <c r="M277" s="37">
        <v>25000</v>
      </c>
      <c r="N277" s="37">
        <v>25000</v>
      </c>
      <c r="O277" s="35">
        <f t="shared" si="46"/>
        <v>300000</v>
      </c>
      <c r="P277"/>
      <c r="Q277"/>
      <c r="R277"/>
      <c r="S277"/>
      <c r="T277"/>
    </row>
    <row r="278" spans="1:20">
      <c r="A278" s="65"/>
      <c r="B278" s="36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5"/>
      <c r="P278"/>
      <c r="Q278"/>
      <c r="R278"/>
      <c r="S278"/>
      <c r="T278"/>
    </row>
    <row r="279" spans="1:20">
      <c r="A279" s="63" t="s">
        <v>451</v>
      </c>
      <c r="B279" s="32"/>
      <c r="C279" s="33">
        <f t="shared" ref="C279:N279" si="47">SUM(C280:C286)</f>
        <v>10555.64</v>
      </c>
      <c r="D279" s="33">
        <f t="shared" si="47"/>
        <v>10555.64</v>
      </c>
      <c r="E279" s="33">
        <f t="shared" si="47"/>
        <v>10555.64</v>
      </c>
      <c r="F279" s="33">
        <f t="shared" si="47"/>
        <v>10555.64</v>
      </c>
      <c r="G279" s="33">
        <f t="shared" si="47"/>
        <v>10555.64</v>
      </c>
      <c r="H279" s="33">
        <f t="shared" si="47"/>
        <v>7896.8600000000006</v>
      </c>
      <c r="I279" s="33">
        <f t="shared" si="47"/>
        <v>5302.25</v>
      </c>
      <c r="J279" s="33">
        <f t="shared" si="47"/>
        <v>5677.41</v>
      </c>
      <c r="K279" s="33">
        <f t="shared" si="47"/>
        <v>5800</v>
      </c>
      <c r="L279" s="33">
        <f t="shared" si="47"/>
        <v>5800</v>
      </c>
      <c r="M279" s="33">
        <f t="shared" si="47"/>
        <v>5800</v>
      </c>
      <c r="N279" s="33">
        <f t="shared" si="47"/>
        <v>5800</v>
      </c>
      <c r="O279" s="33">
        <f>SUM(C279:N279)</f>
        <v>94854.720000000001</v>
      </c>
      <c r="P279"/>
      <c r="Q279"/>
      <c r="R279"/>
      <c r="S279"/>
      <c r="T279"/>
    </row>
    <row r="280" spans="1:20" ht="30">
      <c r="A280" s="64" t="s">
        <v>452</v>
      </c>
      <c r="B280" s="34" t="s">
        <v>453</v>
      </c>
      <c r="C280" s="35">
        <v>6135.64</v>
      </c>
      <c r="D280" s="35">
        <v>6135.64</v>
      </c>
      <c r="E280" s="35">
        <v>6135.64</v>
      </c>
      <c r="F280" s="35">
        <v>6135.64</v>
      </c>
      <c r="G280" s="35">
        <v>6135.64</v>
      </c>
      <c r="H280" s="35">
        <v>3476.86</v>
      </c>
      <c r="I280" s="35"/>
      <c r="J280" s="35"/>
      <c r="K280" s="35"/>
      <c r="L280" s="35"/>
      <c r="M280" s="35"/>
      <c r="N280" s="35"/>
      <c r="O280" s="35">
        <f t="shared" ref="O280:O286" si="48">C280+D280+E280+F280+G280+H280+I280+J280+K280+L280+M280+N280</f>
        <v>34155.06</v>
      </c>
      <c r="P280"/>
      <c r="Q280"/>
      <c r="R280"/>
      <c r="S280"/>
      <c r="T280"/>
    </row>
    <row r="281" spans="1:20" ht="30">
      <c r="A281" s="64" t="s">
        <v>454</v>
      </c>
      <c r="B281" s="34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>
        <f t="shared" si="48"/>
        <v>0</v>
      </c>
      <c r="P281"/>
      <c r="Q281"/>
      <c r="R281"/>
      <c r="S281"/>
      <c r="T281"/>
    </row>
    <row r="282" spans="1:20" ht="30">
      <c r="A282" s="64" t="s">
        <v>455</v>
      </c>
      <c r="B282" s="34" t="s">
        <v>456</v>
      </c>
      <c r="C282" s="35">
        <v>1170</v>
      </c>
      <c r="D282" s="35">
        <v>1170</v>
      </c>
      <c r="E282" s="35">
        <v>1170</v>
      </c>
      <c r="F282" s="35">
        <v>1170</v>
      </c>
      <c r="G282" s="35">
        <v>1170</v>
      </c>
      <c r="H282" s="35">
        <v>1170</v>
      </c>
      <c r="I282" s="35">
        <v>1170</v>
      </c>
      <c r="J282" s="35">
        <v>377.41</v>
      </c>
      <c r="K282" s="35"/>
      <c r="L282" s="35"/>
      <c r="M282" s="35"/>
      <c r="N282" s="35"/>
      <c r="O282" s="35">
        <f t="shared" si="48"/>
        <v>8567.41</v>
      </c>
      <c r="P282"/>
      <c r="Q282"/>
      <c r="R282"/>
      <c r="S282"/>
      <c r="T282"/>
    </row>
    <row r="283" spans="1:20" ht="30">
      <c r="A283" s="64" t="s">
        <v>457</v>
      </c>
      <c r="B283" s="34" t="s">
        <v>456</v>
      </c>
      <c r="C283" s="35"/>
      <c r="D283" s="35"/>
      <c r="E283" s="35"/>
      <c r="F283" s="35"/>
      <c r="G283" s="35"/>
      <c r="H283" s="35"/>
      <c r="I283" s="35"/>
      <c r="J283" s="35">
        <v>1000</v>
      </c>
      <c r="K283" s="35">
        <v>1500</v>
      </c>
      <c r="L283" s="35">
        <v>1500</v>
      </c>
      <c r="M283" s="35">
        <v>1500</v>
      </c>
      <c r="N283" s="35">
        <v>1500</v>
      </c>
      <c r="O283" s="35">
        <f t="shared" si="48"/>
        <v>7000</v>
      </c>
      <c r="P283"/>
      <c r="Q283"/>
      <c r="R283"/>
      <c r="S283"/>
      <c r="T283"/>
    </row>
    <row r="284" spans="1:20">
      <c r="A284" s="64" t="s">
        <v>458</v>
      </c>
      <c r="B284" s="34" t="s">
        <v>459</v>
      </c>
      <c r="C284" s="35">
        <v>3250</v>
      </c>
      <c r="D284" s="35">
        <v>3250</v>
      </c>
      <c r="E284" s="35">
        <v>3250</v>
      </c>
      <c r="F284" s="35">
        <v>3250</v>
      </c>
      <c r="G284" s="35">
        <v>3250</v>
      </c>
      <c r="H284" s="35">
        <v>3250</v>
      </c>
      <c r="I284" s="35">
        <v>1782.25</v>
      </c>
      <c r="J284" s="35"/>
      <c r="K284" s="35"/>
      <c r="L284" s="35"/>
      <c r="M284" s="35"/>
      <c r="N284" s="35"/>
      <c r="O284" s="35">
        <f t="shared" si="48"/>
        <v>21282.25</v>
      </c>
      <c r="P284"/>
      <c r="Q284"/>
      <c r="R284"/>
      <c r="S284"/>
      <c r="T284"/>
    </row>
    <row r="285" spans="1:20">
      <c r="A285" s="64" t="s">
        <v>460</v>
      </c>
      <c r="B285" s="34"/>
      <c r="C285" s="35"/>
      <c r="D285" s="35"/>
      <c r="E285" s="35"/>
      <c r="F285" s="35"/>
      <c r="G285" s="35"/>
      <c r="H285" s="35"/>
      <c r="I285" s="35">
        <v>2350</v>
      </c>
      <c r="J285" s="35">
        <v>4300</v>
      </c>
      <c r="K285" s="35">
        <v>4300</v>
      </c>
      <c r="L285" s="35">
        <v>4300</v>
      </c>
      <c r="M285" s="35">
        <v>4300</v>
      </c>
      <c r="N285" s="35">
        <v>4300</v>
      </c>
      <c r="O285" s="35">
        <f t="shared" si="48"/>
        <v>23850</v>
      </c>
      <c r="P285"/>
      <c r="Q285"/>
      <c r="R285"/>
      <c r="S285"/>
      <c r="T285"/>
    </row>
    <row r="286" spans="1:20">
      <c r="A286" s="64"/>
      <c r="B286" s="34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>
        <f t="shared" si="48"/>
        <v>0</v>
      </c>
      <c r="P286"/>
      <c r="Q286"/>
      <c r="R286"/>
      <c r="S286"/>
      <c r="T286"/>
    </row>
    <row r="287" spans="1:20">
      <c r="A287" s="63" t="s">
        <v>461</v>
      </c>
      <c r="B287" s="32"/>
      <c r="C287" s="33">
        <f t="shared" ref="C287:N287" si="49">SUM(C288:C319)</f>
        <v>68848.800000000003</v>
      </c>
      <c r="D287" s="33">
        <f t="shared" si="49"/>
        <v>2070949.69</v>
      </c>
      <c r="E287" s="33">
        <f t="shared" si="49"/>
        <v>1265319.6400000001</v>
      </c>
      <c r="F287" s="33">
        <f t="shared" si="49"/>
        <v>2578715.75</v>
      </c>
      <c r="G287" s="33">
        <f t="shared" si="49"/>
        <v>1151039.01</v>
      </c>
      <c r="H287" s="33">
        <f t="shared" si="49"/>
        <v>1154444.26</v>
      </c>
      <c r="I287" s="33">
        <f t="shared" si="49"/>
        <v>2172504.08</v>
      </c>
      <c r="J287" s="33">
        <f t="shared" si="49"/>
        <v>797569.23</v>
      </c>
      <c r="K287" s="33">
        <f t="shared" si="49"/>
        <v>154025.83000000002</v>
      </c>
      <c r="L287" s="33">
        <f t="shared" si="49"/>
        <v>1109934.47</v>
      </c>
      <c r="M287" s="33">
        <f t="shared" si="49"/>
        <v>155301</v>
      </c>
      <c r="N287" s="33">
        <f t="shared" si="49"/>
        <v>443594.4</v>
      </c>
      <c r="O287" s="33">
        <f>SUM(C287:N287)</f>
        <v>13122246.160000002</v>
      </c>
      <c r="P287"/>
      <c r="Q287"/>
      <c r="R287"/>
      <c r="S287"/>
      <c r="T287"/>
    </row>
    <row r="288" spans="1:20">
      <c r="A288" s="64" t="s">
        <v>462</v>
      </c>
      <c r="B288" s="34" t="s">
        <v>463</v>
      </c>
      <c r="C288" s="35">
        <v>5846.53</v>
      </c>
      <c r="D288" s="35">
        <v>5846.53</v>
      </c>
      <c r="E288" s="35">
        <v>5846.53</v>
      </c>
      <c r="F288" s="35">
        <v>5846.53</v>
      </c>
      <c r="G288" s="35">
        <v>3394.75</v>
      </c>
      <c r="H288" s="35"/>
      <c r="I288" s="35"/>
      <c r="J288" s="35"/>
      <c r="K288" s="35"/>
      <c r="L288" s="35"/>
      <c r="M288" s="35"/>
      <c r="N288" s="35"/>
      <c r="O288" s="35">
        <f t="shared" ref="O288:O319" si="50">C288+D288+E288+F288+G288+H288+I288+J288+K288+L288+M288+N288</f>
        <v>26780.87</v>
      </c>
      <c r="P288"/>
      <c r="Q288"/>
      <c r="R288"/>
      <c r="S288"/>
      <c r="T288"/>
    </row>
    <row r="289" spans="1:20">
      <c r="A289" s="64" t="s">
        <v>464</v>
      </c>
      <c r="B289" s="34" t="s">
        <v>463</v>
      </c>
      <c r="C289" s="35"/>
      <c r="D289" s="35"/>
      <c r="E289" s="35"/>
      <c r="F289" s="35"/>
      <c r="G289" s="35">
        <v>3100</v>
      </c>
      <c r="H289" s="35">
        <v>6800</v>
      </c>
      <c r="I289" s="35">
        <v>6800</v>
      </c>
      <c r="J289" s="35">
        <v>6800</v>
      </c>
      <c r="K289" s="35">
        <v>6800</v>
      </c>
      <c r="L289" s="35">
        <v>6800</v>
      </c>
      <c r="M289" s="35">
        <v>6800</v>
      </c>
      <c r="N289" s="35">
        <v>6800</v>
      </c>
      <c r="O289" s="35">
        <f t="shared" si="50"/>
        <v>50700</v>
      </c>
      <c r="P289"/>
      <c r="Q289"/>
      <c r="R289"/>
      <c r="S289"/>
      <c r="T289"/>
    </row>
    <row r="290" spans="1:20" ht="30">
      <c r="A290" s="64" t="s">
        <v>465</v>
      </c>
      <c r="B290" s="34" t="s">
        <v>466</v>
      </c>
      <c r="C290" s="35">
        <v>10000</v>
      </c>
      <c r="D290" s="35">
        <v>10000</v>
      </c>
      <c r="E290" s="35">
        <v>10000</v>
      </c>
      <c r="F290" s="35">
        <v>10000</v>
      </c>
      <c r="G290" s="35">
        <v>10000</v>
      </c>
      <c r="H290" s="35">
        <v>10000</v>
      </c>
      <c r="I290" s="35">
        <v>10000</v>
      </c>
      <c r="J290" s="35">
        <v>10000</v>
      </c>
      <c r="K290" s="35">
        <v>10000</v>
      </c>
      <c r="L290" s="35">
        <v>10000</v>
      </c>
      <c r="M290" s="35">
        <v>10000</v>
      </c>
      <c r="N290" s="35">
        <v>10000</v>
      </c>
      <c r="O290" s="35">
        <f t="shared" si="50"/>
        <v>120000</v>
      </c>
      <c r="P290"/>
      <c r="Q290"/>
      <c r="R290"/>
      <c r="S290"/>
      <c r="T290"/>
    </row>
    <row r="291" spans="1:20" ht="30">
      <c r="A291" s="64" t="s">
        <v>467</v>
      </c>
      <c r="B291" s="34" t="s">
        <v>468</v>
      </c>
      <c r="C291" s="35">
        <v>338.85</v>
      </c>
      <c r="D291" s="35">
        <v>338.85</v>
      </c>
      <c r="E291" s="35">
        <v>338.85</v>
      </c>
      <c r="F291" s="35">
        <v>46</v>
      </c>
      <c r="G291" s="35"/>
      <c r="H291" s="35"/>
      <c r="I291" s="35"/>
      <c r="J291" s="35"/>
      <c r="K291" s="35"/>
      <c r="L291" s="35"/>
      <c r="M291" s="35"/>
      <c r="N291" s="35"/>
      <c r="O291" s="35">
        <f t="shared" si="50"/>
        <v>1062.5500000000002</v>
      </c>
      <c r="P291"/>
      <c r="Q291"/>
      <c r="R291"/>
      <c r="S291"/>
      <c r="T291"/>
    </row>
    <row r="292" spans="1:20">
      <c r="A292" s="64" t="s">
        <v>469</v>
      </c>
      <c r="B292" s="34"/>
      <c r="C292" s="35"/>
      <c r="D292" s="35"/>
      <c r="E292" s="35"/>
      <c r="F292" s="35">
        <v>360</v>
      </c>
      <c r="G292" s="35">
        <v>410</v>
      </c>
      <c r="H292" s="35">
        <v>410</v>
      </c>
      <c r="I292" s="35">
        <v>410</v>
      </c>
      <c r="J292" s="35">
        <v>410</v>
      </c>
      <c r="K292" s="35">
        <v>410</v>
      </c>
      <c r="L292" s="35">
        <v>410</v>
      </c>
      <c r="M292" s="35">
        <v>410</v>
      </c>
      <c r="N292" s="35">
        <v>410</v>
      </c>
      <c r="O292" s="35">
        <f t="shared" si="50"/>
        <v>3640</v>
      </c>
      <c r="P292"/>
      <c r="Q292"/>
      <c r="R292"/>
      <c r="S292"/>
      <c r="T292"/>
    </row>
    <row r="293" spans="1:20">
      <c r="A293" s="64" t="s">
        <v>470</v>
      </c>
      <c r="B293" s="34" t="s">
        <v>471</v>
      </c>
      <c r="C293" s="35">
        <v>3208.43</v>
      </c>
      <c r="D293" s="35">
        <v>3208.43</v>
      </c>
      <c r="E293" s="35">
        <v>3208.43</v>
      </c>
      <c r="F293" s="35">
        <v>3208.43</v>
      </c>
      <c r="G293" s="35">
        <v>3208.43</v>
      </c>
      <c r="H293" s="35">
        <v>3208.43</v>
      </c>
      <c r="I293" s="35">
        <v>1782.25</v>
      </c>
      <c r="J293" s="35"/>
      <c r="K293" s="35"/>
      <c r="L293" s="35"/>
      <c r="M293" s="35"/>
      <c r="N293" s="35"/>
      <c r="O293" s="35">
        <f t="shared" si="50"/>
        <v>21032.829999999998</v>
      </c>
      <c r="P293"/>
      <c r="Q293"/>
      <c r="R293"/>
      <c r="S293"/>
      <c r="T293"/>
    </row>
    <row r="294" spans="1:20">
      <c r="A294" s="64" t="s">
        <v>472</v>
      </c>
      <c r="B294" s="34" t="s">
        <v>471</v>
      </c>
      <c r="C294" s="35"/>
      <c r="D294" s="35"/>
      <c r="E294" s="35"/>
      <c r="F294" s="35"/>
      <c r="G294" s="35"/>
      <c r="H294" s="35"/>
      <c r="I294" s="35">
        <v>1600</v>
      </c>
      <c r="J294" s="35">
        <v>3390</v>
      </c>
      <c r="K294" s="35">
        <v>3390</v>
      </c>
      <c r="L294" s="35">
        <v>3390</v>
      </c>
      <c r="M294" s="35">
        <v>3390</v>
      </c>
      <c r="N294" s="35">
        <v>3390</v>
      </c>
      <c r="O294" s="35">
        <f t="shared" si="50"/>
        <v>18550</v>
      </c>
      <c r="P294"/>
      <c r="Q294"/>
      <c r="R294"/>
      <c r="S294"/>
      <c r="T294"/>
    </row>
    <row r="295" spans="1:20">
      <c r="A295" s="64" t="s">
        <v>473</v>
      </c>
      <c r="B295" s="34" t="s">
        <v>474</v>
      </c>
      <c r="C295" s="35">
        <v>13529.16</v>
      </c>
      <c r="D295" s="35">
        <v>10630.05</v>
      </c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>
        <f t="shared" si="50"/>
        <v>24159.21</v>
      </c>
      <c r="P295"/>
      <c r="Q295"/>
      <c r="R295"/>
      <c r="S295"/>
      <c r="T295"/>
    </row>
    <row r="296" spans="1:20">
      <c r="A296" s="64" t="s">
        <v>475</v>
      </c>
      <c r="B296" s="34" t="s">
        <v>474</v>
      </c>
      <c r="C296" s="35"/>
      <c r="D296" s="35">
        <v>5000</v>
      </c>
      <c r="E296" s="35">
        <v>20000</v>
      </c>
      <c r="F296" s="35">
        <v>20000</v>
      </c>
      <c r="G296" s="35">
        <v>20000</v>
      </c>
      <c r="H296" s="35">
        <v>20000</v>
      </c>
      <c r="I296" s="35">
        <v>20000</v>
      </c>
      <c r="J296" s="35">
        <v>20000</v>
      </c>
      <c r="K296" s="35">
        <v>20000</v>
      </c>
      <c r="L296" s="35">
        <v>20000</v>
      </c>
      <c r="M296" s="35">
        <v>20000</v>
      </c>
      <c r="N296" s="35">
        <v>20000</v>
      </c>
      <c r="O296" s="35">
        <f t="shared" si="50"/>
        <v>205000</v>
      </c>
      <c r="P296"/>
      <c r="Q296"/>
      <c r="R296"/>
      <c r="S296"/>
      <c r="T296"/>
    </row>
    <row r="297" spans="1:20">
      <c r="A297" s="64" t="s">
        <v>476</v>
      </c>
      <c r="B297" s="34" t="s">
        <v>477</v>
      </c>
      <c r="C297" s="35"/>
      <c r="D297" s="35"/>
      <c r="E297" s="35"/>
      <c r="F297" s="35"/>
      <c r="G297" s="35"/>
      <c r="H297" s="35">
        <v>1500</v>
      </c>
      <c r="I297" s="35"/>
      <c r="J297" s="35"/>
      <c r="K297" s="35"/>
      <c r="L297" s="35"/>
      <c r="M297" s="35"/>
      <c r="N297" s="35"/>
      <c r="O297" s="35">
        <f t="shared" si="50"/>
        <v>1500</v>
      </c>
      <c r="P297"/>
      <c r="Q297"/>
      <c r="R297"/>
      <c r="S297"/>
      <c r="T297"/>
    </row>
    <row r="298" spans="1:20" ht="30">
      <c r="A298" s="64" t="s">
        <v>478</v>
      </c>
      <c r="B298" s="34" t="s">
        <v>479</v>
      </c>
      <c r="C298" s="35">
        <v>9124.83</v>
      </c>
      <c r="D298" s="35">
        <v>9124.83</v>
      </c>
      <c r="E298" s="35">
        <v>9124.83</v>
      </c>
      <c r="F298" s="35">
        <v>9124.83</v>
      </c>
      <c r="G298" s="35">
        <v>9124.83</v>
      </c>
      <c r="H298" s="35">
        <v>9124.83</v>
      </c>
      <c r="I298" s="35">
        <v>9124.83</v>
      </c>
      <c r="J298" s="35">
        <v>9124.83</v>
      </c>
      <c r="K298" s="35">
        <v>9124.83</v>
      </c>
      <c r="L298" s="35"/>
      <c r="M298" s="35"/>
      <c r="N298" s="35"/>
      <c r="O298" s="35">
        <f t="shared" si="50"/>
        <v>82123.47</v>
      </c>
      <c r="P298"/>
      <c r="Q298"/>
      <c r="R298"/>
      <c r="S298"/>
      <c r="T298"/>
    </row>
    <row r="299" spans="1:20">
      <c r="A299" s="64" t="s">
        <v>480</v>
      </c>
      <c r="B299" s="34"/>
      <c r="C299" s="35"/>
      <c r="D299" s="35"/>
      <c r="E299" s="35"/>
      <c r="F299" s="35"/>
      <c r="G299" s="35"/>
      <c r="H299" s="35"/>
      <c r="I299" s="35"/>
      <c r="J299" s="35"/>
      <c r="K299" s="35"/>
      <c r="L299" s="35">
        <v>10400</v>
      </c>
      <c r="M299" s="35">
        <v>10400</v>
      </c>
      <c r="N299" s="35">
        <v>10400</v>
      </c>
      <c r="O299" s="35">
        <f t="shared" si="50"/>
        <v>31200</v>
      </c>
      <c r="P299"/>
      <c r="Q299"/>
      <c r="R299"/>
      <c r="S299"/>
      <c r="T299"/>
    </row>
    <row r="300" spans="1:20" ht="30">
      <c r="A300" s="64" t="s">
        <v>481</v>
      </c>
      <c r="B300" s="34" t="s">
        <v>482</v>
      </c>
      <c r="C300" s="35"/>
      <c r="D300" s="35"/>
      <c r="E300" s="35"/>
      <c r="F300" s="35">
        <v>47500</v>
      </c>
      <c r="G300" s="35"/>
      <c r="H300" s="35"/>
      <c r="I300" s="35"/>
      <c r="J300" s="35"/>
      <c r="K300" s="35"/>
      <c r="L300" s="35"/>
      <c r="M300" s="35"/>
      <c r="N300" s="35"/>
      <c r="O300" s="35">
        <f t="shared" si="50"/>
        <v>47500</v>
      </c>
      <c r="P300"/>
      <c r="Q300"/>
      <c r="R300"/>
      <c r="S300"/>
      <c r="T300"/>
    </row>
    <row r="301" spans="1:20">
      <c r="A301" s="64" t="s">
        <v>483</v>
      </c>
      <c r="B301" s="34"/>
      <c r="C301" s="35"/>
      <c r="D301" s="35"/>
      <c r="E301" s="35"/>
      <c r="F301" s="35"/>
      <c r="G301" s="35"/>
      <c r="H301" s="35"/>
      <c r="I301" s="35"/>
      <c r="J301" s="35"/>
      <c r="K301" s="35"/>
      <c r="L301" s="35">
        <v>57000</v>
      </c>
      <c r="M301" s="35"/>
      <c r="N301" s="35"/>
      <c r="O301" s="35">
        <f t="shared" si="50"/>
        <v>57000</v>
      </c>
      <c r="P301"/>
      <c r="Q301"/>
      <c r="R301"/>
      <c r="S301"/>
      <c r="T301"/>
    </row>
    <row r="302" spans="1:20" ht="30">
      <c r="A302" s="64" t="s">
        <v>484</v>
      </c>
      <c r="B302" s="34" t="s">
        <v>485</v>
      </c>
      <c r="C302" s="35">
        <v>6000</v>
      </c>
      <c r="D302" s="35">
        <v>6000</v>
      </c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>
        <f t="shared" si="50"/>
        <v>12000</v>
      </c>
      <c r="P302"/>
      <c r="Q302"/>
      <c r="R302"/>
      <c r="S302"/>
      <c r="T302"/>
    </row>
    <row r="303" spans="1:20">
      <c r="A303" s="64" t="s">
        <v>486</v>
      </c>
      <c r="B303" s="34" t="s">
        <v>487</v>
      </c>
      <c r="C303" s="35"/>
      <c r="D303" s="35"/>
      <c r="E303" s="35">
        <v>55000</v>
      </c>
      <c r="F303" s="35">
        <v>55000</v>
      </c>
      <c r="G303" s="35">
        <v>55000</v>
      </c>
      <c r="H303" s="35">
        <v>55000</v>
      </c>
      <c r="I303" s="35">
        <v>55000</v>
      </c>
      <c r="J303" s="35">
        <v>55000</v>
      </c>
      <c r="K303" s="35">
        <v>55000</v>
      </c>
      <c r="L303" s="35">
        <v>55000</v>
      </c>
      <c r="M303" s="35">
        <v>55000</v>
      </c>
      <c r="N303" s="35">
        <v>55000</v>
      </c>
      <c r="O303" s="35">
        <f t="shared" si="50"/>
        <v>550000</v>
      </c>
      <c r="P303"/>
      <c r="Q303"/>
      <c r="R303"/>
      <c r="S303"/>
      <c r="T303"/>
    </row>
    <row r="304" spans="1:20">
      <c r="A304" s="64" t="s">
        <v>488</v>
      </c>
      <c r="B304" s="34"/>
      <c r="C304" s="35"/>
      <c r="D304" s="35"/>
      <c r="E304" s="35">
        <v>115000</v>
      </c>
      <c r="F304" s="35"/>
      <c r="G304" s="35"/>
      <c r="H304" s="35"/>
      <c r="I304" s="35"/>
      <c r="J304" s="35"/>
      <c r="K304" s="35"/>
      <c r="L304" s="35"/>
      <c r="M304" s="35"/>
      <c r="N304" s="35"/>
      <c r="O304" s="35">
        <f t="shared" si="50"/>
        <v>115000</v>
      </c>
      <c r="P304"/>
      <c r="Q304"/>
      <c r="R304"/>
      <c r="S304"/>
      <c r="T304"/>
    </row>
    <row r="305" spans="1:20">
      <c r="A305" s="64" t="s">
        <v>458</v>
      </c>
      <c r="B305" s="34" t="s">
        <v>489</v>
      </c>
      <c r="C305" s="35">
        <v>1201</v>
      </c>
      <c r="D305" s="35">
        <v>1201</v>
      </c>
      <c r="E305" s="35">
        <v>1201</v>
      </c>
      <c r="F305" s="35">
        <v>1201</v>
      </c>
      <c r="G305" s="35">
        <v>1201</v>
      </c>
      <c r="H305" s="35">
        <v>1201</v>
      </c>
      <c r="I305" s="35">
        <v>1201</v>
      </c>
      <c r="J305" s="35">
        <v>1201</v>
      </c>
      <c r="K305" s="35">
        <v>1201</v>
      </c>
      <c r="L305" s="35">
        <v>1201</v>
      </c>
      <c r="M305" s="35">
        <v>1201</v>
      </c>
      <c r="N305" s="35">
        <v>1201</v>
      </c>
      <c r="O305" s="35">
        <f t="shared" si="50"/>
        <v>14412</v>
      </c>
      <c r="P305"/>
      <c r="Q305"/>
      <c r="R305"/>
      <c r="S305"/>
      <c r="T305"/>
    </row>
    <row r="306" spans="1:20">
      <c r="A306" s="64" t="s">
        <v>490</v>
      </c>
      <c r="B306" s="34" t="s">
        <v>489</v>
      </c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>
        <v>99</v>
      </c>
      <c r="O306" s="35">
        <f t="shared" si="50"/>
        <v>99</v>
      </c>
      <c r="P306"/>
      <c r="Q306"/>
      <c r="R306"/>
      <c r="S306"/>
      <c r="T306"/>
    </row>
    <row r="307" spans="1:20">
      <c r="A307" s="64" t="s">
        <v>491</v>
      </c>
      <c r="B307" s="34" t="s">
        <v>492</v>
      </c>
      <c r="C307" s="35">
        <v>600</v>
      </c>
      <c r="D307" s="35">
        <v>600</v>
      </c>
      <c r="E307" s="35">
        <v>600</v>
      </c>
      <c r="F307" s="35">
        <v>600</v>
      </c>
      <c r="G307" s="35">
        <v>600</v>
      </c>
      <c r="H307" s="35">
        <v>600</v>
      </c>
      <c r="I307" s="35"/>
      <c r="J307" s="35"/>
      <c r="K307" s="35"/>
      <c r="L307" s="35"/>
      <c r="M307" s="35"/>
      <c r="N307" s="35"/>
      <c r="O307" s="35">
        <f t="shared" si="50"/>
        <v>3600</v>
      </c>
      <c r="P307"/>
      <c r="Q307"/>
      <c r="R307"/>
      <c r="S307"/>
      <c r="T307"/>
    </row>
    <row r="308" spans="1:20">
      <c r="A308" s="64" t="s">
        <v>493</v>
      </c>
      <c r="B308" s="34"/>
      <c r="C308" s="35"/>
      <c r="D308" s="35"/>
      <c r="E308" s="35"/>
      <c r="F308" s="35"/>
      <c r="G308" s="35"/>
      <c r="H308" s="35"/>
      <c r="I308" s="35">
        <v>1500</v>
      </c>
      <c r="J308" s="35">
        <v>1500</v>
      </c>
      <c r="K308" s="35">
        <v>1500</v>
      </c>
      <c r="L308" s="35">
        <v>1500</v>
      </c>
      <c r="M308" s="35">
        <v>1500</v>
      </c>
      <c r="N308" s="35">
        <v>1500</v>
      </c>
      <c r="O308" s="35">
        <f t="shared" si="50"/>
        <v>9000</v>
      </c>
      <c r="P308"/>
      <c r="Q308"/>
      <c r="R308"/>
      <c r="S308"/>
      <c r="T308"/>
    </row>
    <row r="309" spans="1:20" ht="30">
      <c r="A309" s="64" t="s">
        <v>494</v>
      </c>
      <c r="B309" s="34" t="s">
        <v>495</v>
      </c>
      <c r="C309" s="35"/>
      <c r="D309" s="35"/>
      <c r="E309" s="35">
        <v>10000</v>
      </c>
      <c r="F309" s="35">
        <v>10000</v>
      </c>
      <c r="G309" s="35">
        <v>10000</v>
      </c>
      <c r="H309" s="35">
        <v>10000</v>
      </c>
      <c r="I309" s="35">
        <v>10000</v>
      </c>
      <c r="J309" s="35">
        <v>10000</v>
      </c>
      <c r="K309" s="35">
        <v>10000</v>
      </c>
      <c r="L309" s="35">
        <v>10000</v>
      </c>
      <c r="M309" s="35">
        <v>10000</v>
      </c>
      <c r="N309" s="35">
        <v>10000</v>
      </c>
      <c r="O309" s="35">
        <f t="shared" si="50"/>
        <v>100000</v>
      </c>
      <c r="P309"/>
      <c r="Q309"/>
      <c r="R309"/>
      <c r="S309"/>
      <c r="T309"/>
    </row>
    <row r="310" spans="1:20" ht="45">
      <c r="A310" s="64" t="s">
        <v>496</v>
      </c>
      <c r="B310" s="34" t="s">
        <v>497</v>
      </c>
      <c r="C310" s="35"/>
      <c r="D310" s="35"/>
      <c r="E310" s="35"/>
      <c r="F310" s="35">
        <v>5691.6</v>
      </c>
      <c r="G310" s="35"/>
      <c r="H310" s="35"/>
      <c r="I310" s="35">
        <v>9486</v>
      </c>
      <c r="J310" s="35"/>
      <c r="K310" s="35"/>
      <c r="L310" s="35"/>
      <c r="M310" s="35"/>
      <c r="N310" s="35">
        <v>3794.4</v>
      </c>
      <c r="O310" s="35">
        <f t="shared" si="50"/>
        <v>18972</v>
      </c>
      <c r="P310"/>
      <c r="Q310"/>
      <c r="R310"/>
      <c r="S310"/>
      <c r="T310"/>
    </row>
    <row r="311" spans="1:20" ht="45">
      <c r="A311" s="64" t="s">
        <v>498</v>
      </c>
      <c r="B311" s="34" t="s">
        <v>497</v>
      </c>
      <c r="C311" s="35"/>
      <c r="D311" s="35"/>
      <c r="E311" s="35"/>
      <c r="F311" s="35">
        <v>5400</v>
      </c>
      <c r="G311" s="35"/>
      <c r="H311" s="35"/>
      <c r="I311" s="35">
        <v>9000</v>
      </c>
      <c r="J311" s="35"/>
      <c r="K311" s="35"/>
      <c r="L311" s="35"/>
      <c r="M311" s="35"/>
      <c r="N311" s="35">
        <v>3600</v>
      </c>
      <c r="O311" s="35">
        <f t="shared" si="50"/>
        <v>18000</v>
      </c>
      <c r="P311"/>
      <c r="Q311"/>
      <c r="R311"/>
      <c r="S311"/>
      <c r="T311"/>
    </row>
    <row r="312" spans="1:20" ht="30">
      <c r="A312" s="64" t="s">
        <v>499</v>
      </c>
      <c r="B312" s="34" t="s">
        <v>500</v>
      </c>
      <c r="C312" s="35"/>
      <c r="D312" s="35"/>
      <c r="E312" s="35"/>
      <c r="F312" s="35">
        <v>369737.36</v>
      </c>
      <c r="G312" s="35"/>
      <c r="H312" s="35"/>
      <c r="I312" s="35"/>
      <c r="J312" s="35">
        <v>643543.4</v>
      </c>
      <c r="K312" s="35"/>
      <c r="L312" s="35">
        <v>897633.47</v>
      </c>
      <c r="M312" s="35"/>
      <c r="N312" s="35">
        <v>280800</v>
      </c>
      <c r="O312" s="35">
        <f t="shared" si="50"/>
        <v>2191714.23</v>
      </c>
      <c r="P312"/>
      <c r="Q312"/>
      <c r="R312"/>
      <c r="S312"/>
      <c r="T312"/>
    </row>
    <row r="313" spans="1:20" ht="45">
      <c r="A313" s="64" t="s">
        <v>550</v>
      </c>
      <c r="B313" s="34" t="s">
        <v>501</v>
      </c>
      <c r="C313" s="35"/>
      <c r="D313" s="35"/>
      <c r="E313" s="35">
        <v>13000</v>
      </c>
      <c r="F313" s="35">
        <v>13000</v>
      </c>
      <c r="G313" s="35">
        <v>13000</v>
      </c>
      <c r="H313" s="35">
        <v>13000</v>
      </c>
      <c r="I313" s="35">
        <v>13000</v>
      </c>
      <c r="J313" s="35">
        <v>13000</v>
      </c>
      <c r="K313" s="35">
        <v>13000</v>
      </c>
      <c r="L313" s="35">
        <v>13000</v>
      </c>
      <c r="M313" s="35">
        <v>13000</v>
      </c>
      <c r="N313" s="35">
        <v>13000</v>
      </c>
      <c r="O313" s="35">
        <f t="shared" si="50"/>
        <v>130000</v>
      </c>
      <c r="P313"/>
      <c r="Q313"/>
      <c r="R313"/>
      <c r="S313"/>
      <c r="T313"/>
    </row>
    <row r="314" spans="1:20" ht="45">
      <c r="A314" s="64" t="s">
        <v>551</v>
      </c>
      <c r="B314" s="34" t="s">
        <v>502</v>
      </c>
      <c r="C314" s="35"/>
      <c r="D314" s="35">
        <v>2000000</v>
      </c>
      <c r="E314" s="35">
        <v>1000000</v>
      </c>
      <c r="F314" s="35">
        <v>2000000</v>
      </c>
      <c r="G314" s="35">
        <v>1000000</v>
      </c>
      <c r="H314" s="35">
        <v>1000000</v>
      </c>
      <c r="I314" s="35">
        <v>2000000</v>
      </c>
      <c r="J314" s="35"/>
      <c r="K314" s="35"/>
      <c r="L314" s="35"/>
      <c r="M314" s="35"/>
      <c r="N314" s="35"/>
      <c r="O314" s="35">
        <f t="shared" si="50"/>
        <v>9000000</v>
      </c>
      <c r="P314"/>
      <c r="Q314"/>
      <c r="R314"/>
      <c r="S314"/>
      <c r="T314"/>
    </row>
    <row r="315" spans="1:20" ht="30">
      <c r="A315" s="64" t="s">
        <v>552</v>
      </c>
      <c r="B315" s="34"/>
      <c r="C315" s="35">
        <v>19000</v>
      </c>
      <c r="D315" s="35">
        <v>19000</v>
      </c>
      <c r="E315" s="35">
        <v>19000</v>
      </c>
      <c r="F315" s="35">
        <v>19000</v>
      </c>
      <c r="G315" s="35">
        <v>19000</v>
      </c>
      <c r="H315" s="35">
        <v>19000</v>
      </c>
      <c r="I315" s="35">
        <v>19000</v>
      </c>
      <c r="J315" s="35">
        <v>19000</v>
      </c>
      <c r="K315" s="35">
        <v>19000</v>
      </c>
      <c r="L315" s="35">
        <v>19000</v>
      </c>
      <c r="M315" s="35">
        <v>19000</v>
      </c>
      <c r="N315" s="35">
        <v>19000</v>
      </c>
      <c r="O315" s="35">
        <f t="shared" si="50"/>
        <v>228000</v>
      </c>
      <c r="P315"/>
      <c r="Q315"/>
      <c r="R315"/>
      <c r="S315"/>
      <c r="T315"/>
    </row>
    <row r="316" spans="1:20">
      <c r="A316" s="64" t="s">
        <v>553</v>
      </c>
      <c r="B316" s="34"/>
      <c r="C316" s="35"/>
      <c r="D316" s="35"/>
      <c r="E316" s="35">
        <v>3000</v>
      </c>
      <c r="F316" s="35">
        <v>3000</v>
      </c>
      <c r="G316" s="35">
        <v>3000</v>
      </c>
      <c r="H316" s="35">
        <v>3000</v>
      </c>
      <c r="I316" s="35">
        <v>3000</v>
      </c>
      <c r="J316" s="35">
        <v>3000</v>
      </c>
      <c r="K316" s="35">
        <v>3000</v>
      </c>
      <c r="L316" s="35">
        <v>3000</v>
      </c>
      <c r="M316" s="35">
        <v>3000</v>
      </c>
      <c r="N316" s="35">
        <v>3000</v>
      </c>
      <c r="O316" s="35">
        <f t="shared" si="50"/>
        <v>30000</v>
      </c>
      <c r="P316"/>
      <c r="Q316"/>
      <c r="R316"/>
      <c r="S316"/>
      <c r="T316"/>
    </row>
    <row r="317" spans="1:20" ht="30">
      <c r="A317" s="64" t="s">
        <v>554</v>
      </c>
      <c r="B317" s="34"/>
      <c r="C317" s="35"/>
      <c r="D317" s="35"/>
      <c r="E317" s="35"/>
      <c r="F317" s="35"/>
      <c r="G317" s="35"/>
      <c r="H317" s="35">
        <v>1600</v>
      </c>
      <c r="I317" s="35">
        <v>1600</v>
      </c>
      <c r="J317" s="35">
        <v>1600</v>
      </c>
      <c r="K317" s="35">
        <v>1600</v>
      </c>
      <c r="L317" s="35">
        <v>1600</v>
      </c>
      <c r="M317" s="35">
        <v>1600</v>
      </c>
      <c r="N317" s="35">
        <v>1600</v>
      </c>
      <c r="O317" s="35">
        <f t="shared" si="50"/>
        <v>11200</v>
      </c>
      <c r="P317"/>
      <c r="Q317"/>
      <c r="R317"/>
      <c r="S317"/>
      <c r="T317"/>
    </row>
    <row r="318" spans="1:20">
      <c r="A318" s="64"/>
      <c r="B318" s="34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>
        <f t="shared" si="50"/>
        <v>0</v>
      </c>
      <c r="P318"/>
      <c r="Q318"/>
      <c r="R318"/>
      <c r="S318"/>
      <c r="T318"/>
    </row>
    <row r="319" spans="1:20">
      <c r="A319" s="64"/>
      <c r="B319" s="34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>
        <f t="shared" si="50"/>
        <v>0</v>
      </c>
      <c r="P319"/>
      <c r="Q319"/>
      <c r="R319"/>
      <c r="S319"/>
      <c r="T319"/>
    </row>
    <row r="320" spans="1:20">
      <c r="A320" s="63" t="s">
        <v>503</v>
      </c>
      <c r="B320" s="32"/>
      <c r="C320" s="33">
        <f t="shared" ref="C320:N320" si="51">SUM(C321:C324)</f>
        <v>4524.99</v>
      </c>
      <c r="D320" s="33">
        <f t="shared" si="51"/>
        <v>4524.99</v>
      </c>
      <c r="E320" s="33">
        <f t="shared" si="51"/>
        <v>4524.99</v>
      </c>
      <c r="F320" s="33">
        <f t="shared" si="51"/>
        <v>4524.99</v>
      </c>
      <c r="G320" s="33">
        <f t="shared" si="51"/>
        <v>4524.99</v>
      </c>
      <c r="H320" s="33">
        <f t="shared" si="51"/>
        <v>4524.99</v>
      </c>
      <c r="I320" s="33">
        <f t="shared" si="51"/>
        <v>4630</v>
      </c>
      <c r="J320" s="33">
        <f t="shared" si="51"/>
        <v>4630</v>
      </c>
      <c r="K320" s="33">
        <f t="shared" si="51"/>
        <v>4630</v>
      </c>
      <c r="L320" s="33">
        <f t="shared" si="51"/>
        <v>4630</v>
      </c>
      <c r="M320" s="33">
        <f t="shared" si="51"/>
        <v>4630</v>
      </c>
      <c r="N320" s="33">
        <f t="shared" si="51"/>
        <v>4630</v>
      </c>
      <c r="O320" s="33">
        <f>SUM(C320:N320)</f>
        <v>54929.939999999995</v>
      </c>
      <c r="P320"/>
      <c r="Q320"/>
      <c r="R320"/>
      <c r="S320"/>
      <c r="T320"/>
    </row>
    <row r="321" spans="1:20" ht="45">
      <c r="A321" s="64" t="s">
        <v>504</v>
      </c>
      <c r="B321" s="34" t="s">
        <v>505</v>
      </c>
      <c r="C321" s="35">
        <v>524.99</v>
      </c>
      <c r="D321" s="35">
        <v>524.99</v>
      </c>
      <c r="E321" s="35">
        <v>524.99</v>
      </c>
      <c r="F321" s="35">
        <v>524.99</v>
      </c>
      <c r="G321" s="35">
        <v>524.99</v>
      </c>
      <c r="H321" s="35">
        <v>524.99</v>
      </c>
      <c r="I321" s="35"/>
      <c r="J321" s="35"/>
      <c r="K321" s="35"/>
      <c r="L321" s="35"/>
      <c r="M321" s="35"/>
      <c r="N321" s="35"/>
      <c r="O321" s="35">
        <f>SUM(C321:N321)</f>
        <v>3149.9399999999996</v>
      </c>
      <c r="P321"/>
      <c r="Q321"/>
      <c r="R321"/>
      <c r="S321"/>
      <c r="T321"/>
    </row>
    <row r="322" spans="1:20">
      <c r="A322" s="64" t="s">
        <v>506</v>
      </c>
      <c r="B322" s="34"/>
      <c r="C322" s="35"/>
      <c r="D322" s="35"/>
      <c r="E322" s="35"/>
      <c r="F322" s="35"/>
      <c r="G322" s="35"/>
      <c r="H322" s="35"/>
      <c r="I322" s="35">
        <v>630</v>
      </c>
      <c r="J322" s="35">
        <v>630</v>
      </c>
      <c r="K322" s="35">
        <v>630</v>
      </c>
      <c r="L322" s="35">
        <v>630</v>
      </c>
      <c r="M322" s="35">
        <v>630</v>
      </c>
      <c r="N322" s="35">
        <v>630</v>
      </c>
      <c r="O322" s="35">
        <f>SUM(C322:N322)</f>
        <v>3780</v>
      </c>
      <c r="P322"/>
      <c r="Q322"/>
      <c r="R322"/>
      <c r="S322"/>
      <c r="T322"/>
    </row>
    <row r="323" spans="1:20">
      <c r="A323" s="64" t="s">
        <v>507</v>
      </c>
      <c r="B323" s="34"/>
      <c r="C323" s="35">
        <v>2000</v>
      </c>
      <c r="D323" s="35">
        <v>2000</v>
      </c>
      <c r="E323" s="35">
        <v>2000</v>
      </c>
      <c r="F323" s="35">
        <v>2000</v>
      </c>
      <c r="G323" s="35">
        <v>2000</v>
      </c>
      <c r="H323" s="35">
        <v>2000</v>
      </c>
      <c r="I323" s="35">
        <v>2000</v>
      </c>
      <c r="J323" s="35">
        <v>2000</v>
      </c>
      <c r="K323" s="35">
        <v>2000</v>
      </c>
      <c r="L323" s="35">
        <v>2000</v>
      </c>
      <c r="M323" s="35">
        <v>2000</v>
      </c>
      <c r="N323" s="35">
        <v>2000</v>
      </c>
      <c r="O323" s="35">
        <f>SUM(C323:N323)</f>
        <v>24000</v>
      </c>
      <c r="P323"/>
      <c r="Q323"/>
      <c r="R323"/>
      <c r="S323"/>
      <c r="T323"/>
    </row>
    <row r="324" spans="1:20" ht="45">
      <c r="A324" s="64" t="s">
        <v>508</v>
      </c>
      <c r="B324" s="34" t="s">
        <v>505</v>
      </c>
      <c r="C324" s="35">
        <v>2000</v>
      </c>
      <c r="D324" s="35">
        <v>2000</v>
      </c>
      <c r="E324" s="35">
        <v>2000</v>
      </c>
      <c r="F324" s="35">
        <v>2000</v>
      </c>
      <c r="G324" s="35">
        <v>2000</v>
      </c>
      <c r="H324" s="35">
        <v>2000</v>
      </c>
      <c r="I324" s="35">
        <v>2000</v>
      </c>
      <c r="J324" s="35">
        <v>2000</v>
      </c>
      <c r="K324" s="35">
        <v>2000</v>
      </c>
      <c r="L324" s="35">
        <v>2000</v>
      </c>
      <c r="M324" s="35">
        <v>2000</v>
      </c>
      <c r="N324" s="35">
        <v>2000</v>
      </c>
      <c r="O324" s="35">
        <f>SUM(C324:N324)</f>
        <v>24000</v>
      </c>
      <c r="P324"/>
      <c r="Q324"/>
      <c r="R324"/>
      <c r="S324"/>
      <c r="T324"/>
    </row>
    <row r="325" spans="1:20">
      <c r="A325" s="64"/>
      <c r="B325" s="34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/>
      <c r="Q325"/>
      <c r="R325"/>
      <c r="S325"/>
      <c r="T325"/>
    </row>
    <row r="326" spans="1:20" ht="28.5">
      <c r="A326" s="63" t="s">
        <v>509</v>
      </c>
      <c r="B326" s="32"/>
      <c r="C326" s="33">
        <f>SUM(C327:C329)</f>
        <v>0</v>
      </c>
      <c r="D326" s="33">
        <f t="shared" ref="D326:N326" si="52">SUM(D327:D329)</f>
        <v>0</v>
      </c>
      <c r="E326" s="33">
        <f t="shared" si="52"/>
        <v>0</v>
      </c>
      <c r="F326" s="33">
        <f t="shared" si="52"/>
        <v>0</v>
      </c>
      <c r="G326" s="33">
        <f t="shared" si="52"/>
        <v>0</v>
      </c>
      <c r="H326" s="33">
        <f t="shared" si="52"/>
        <v>0</v>
      </c>
      <c r="I326" s="33">
        <f t="shared" si="52"/>
        <v>0</v>
      </c>
      <c r="J326" s="33">
        <f t="shared" si="52"/>
        <v>0</v>
      </c>
      <c r="K326" s="33">
        <f t="shared" si="52"/>
        <v>30000</v>
      </c>
      <c r="L326" s="33">
        <f t="shared" si="52"/>
        <v>0</v>
      </c>
      <c r="M326" s="33">
        <f t="shared" si="52"/>
        <v>0</v>
      </c>
      <c r="N326" s="33">
        <f t="shared" si="52"/>
        <v>0</v>
      </c>
      <c r="O326" s="33">
        <f>SUM(O327:O327)</f>
        <v>30000</v>
      </c>
      <c r="P326"/>
      <c r="Q326"/>
      <c r="R326"/>
      <c r="S326"/>
      <c r="T326"/>
    </row>
    <row r="327" spans="1:20">
      <c r="A327" s="64" t="s">
        <v>510</v>
      </c>
      <c r="B327" s="34"/>
      <c r="C327" s="35"/>
      <c r="D327" s="35"/>
      <c r="E327" s="35"/>
      <c r="F327" s="35"/>
      <c r="G327" s="35"/>
      <c r="H327" s="35"/>
      <c r="I327" s="35"/>
      <c r="J327" s="35"/>
      <c r="K327" s="35">
        <v>30000</v>
      </c>
      <c r="L327" s="35"/>
      <c r="M327" s="35"/>
      <c r="N327" s="35"/>
      <c r="O327" s="35">
        <f>SUM(C327:N327)</f>
        <v>30000</v>
      </c>
      <c r="P327"/>
      <c r="Q327"/>
      <c r="R327"/>
      <c r="S327"/>
      <c r="T327"/>
    </row>
    <row r="328" spans="1:20">
      <c r="A328" s="64"/>
      <c r="B328" s="34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>
        <f>SUM(C328:N328)</f>
        <v>0</v>
      </c>
      <c r="P328"/>
      <c r="Q328"/>
      <c r="R328"/>
      <c r="S328"/>
      <c r="T328"/>
    </row>
    <row r="329" spans="1:20">
      <c r="A329" s="64"/>
      <c r="B329" s="34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/>
      <c r="Q329"/>
      <c r="R329"/>
      <c r="S329"/>
      <c r="T329"/>
    </row>
    <row r="330" spans="1:20">
      <c r="A330" s="66" t="s">
        <v>511</v>
      </c>
      <c r="B330" s="38"/>
      <c r="C330" s="39">
        <f>C331+C336</f>
        <v>5306000</v>
      </c>
      <c r="D330" s="39">
        <f t="shared" ref="D330:N330" si="53">D331+D336</f>
        <v>536000</v>
      </c>
      <c r="E330" s="39">
        <f t="shared" si="53"/>
        <v>1426000</v>
      </c>
      <c r="F330" s="39">
        <f t="shared" si="53"/>
        <v>48000</v>
      </c>
      <c r="G330" s="39">
        <f t="shared" si="53"/>
        <v>36000</v>
      </c>
      <c r="H330" s="39">
        <f t="shared" si="53"/>
        <v>6000</v>
      </c>
      <c r="I330" s="39">
        <f t="shared" si="53"/>
        <v>26000</v>
      </c>
      <c r="J330" s="39">
        <f t="shared" si="53"/>
        <v>6000</v>
      </c>
      <c r="K330" s="39">
        <f t="shared" si="53"/>
        <v>1006000</v>
      </c>
      <c r="L330" s="39">
        <f t="shared" si="53"/>
        <v>6000</v>
      </c>
      <c r="M330" s="39">
        <f t="shared" si="53"/>
        <v>6000</v>
      </c>
      <c r="N330" s="39">
        <f t="shared" si="53"/>
        <v>6000</v>
      </c>
      <c r="O330" s="39">
        <f>SUM(C330:N330)</f>
        <v>8414000</v>
      </c>
      <c r="P330"/>
      <c r="Q330"/>
      <c r="R330"/>
      <c r="S330"/>
      <c r="T330"/>
    </row>
    <row r="331" spans="1:20">
      <c r="A331" s="66" t="s">
        <v>512</v>
      </c>
      <c r="B331" s="38"/>
      <c r="C331" s="39">
        <f>SUM(C332:C335)</f>
        <v>0</v>
      </c>
      <c r="D331" s="39">
        <f t="shared" ref="D331:N331" si="54">SUM(D332:D335)</f>
        <v>0</v>
      </c>
      <c r="E331" s="39">
        <f t="shared" si="54"/>
        <v>0</v>
      </c>
      <c r="F331" s="39">
        <f t="shared" si="54"/>
        <v>0</v>
      </c>
      <c r="G331" s="39">
        <f t="shared" si="54"/>
        <v>0</v>
      </c>
      <c r="H331" s="39">
        <f t="shared" si="54"/>
        <v>0</v>
      </c>
      <c r="I331" s="39">
        <f t="shared" si="54"/>
        <v>0</v>
      </c>
      <c r="J331" s="39">
        <f t="shared" si="54"/>
        <v>0</v>
      </c>
      <c r="K331" s="39">
        <f t="shared" si="54"/>
        <v>0</v>
      </c>
      <c r="L331" s="39">
        <f t="shared" si="54"/>
        <v>0</v>
      </c>
      <c r="M331" s="39">
        <f t="shared" si="54"/>
        <v>0</v>
      </c>
      <c r="N331" s="39">
        <f t="shared" si="54"/>
        <v>0</v>
      </c>
      <c r="O331" s="39">
        <f t="shared" ref="O331" si="55">O332+O333+O334+O335</f>
        <v>0</v>
      </c>
      <c r="P331"/>
      <c r="Q331"/>
      <c r="R331"/>
      <c r="S331"/>
      <c r="T331"/>
    </row>
    <row r="332" spans="1:20">
      <c r="A332" s="63" t="s">
        <v>513</v>
      </c>
      <c r="B332" s="32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>
        <f>SUM(C332:N332)</f>
        <v>0</v>
      </c>
      <c r="P332"/>
      <c r="Q332"/>
      <c r="R332"/>
      <c r="S332"/>
      <c r="T332"/>
    </row>
    <row r="333" spans="1:20">
      <c r="A333" s="63" t="s">
        <v>514</v>
      </c>
      <c r="B333" s="32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>
        <f>SUM(C333:N333)</f>
        <v>0</v>
      </c>
      <c r="P333"/>
      <c r="Q333"/>
      <c r="R333"/>
      <c r="S333"/>
      <c r="T333"/>
    </row>
    <row r="334" spans="1:20">
      <c r="A334" s="63" t="s">
        <v>515</v>
      </c>
      <c r="B334" s="32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>
        <f>SUM(C334:N334)</f>
        <v>0</v>
      </c>
      <c r="P334"/>
      <c r="Q334"/>
      <c r="R334"/>
      <c r="S334"/>
      <c r="T334"/>
    </row>
    <row r="335" spans="1:20">
      <c r="A335" s="63" t="s">
        <v>516</v>
      </c>
      <c r="B335" s="32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>
        <f>SUM(C335:N335)</f>
        <v>0</v>
      </c>
      <c r="P335"/>
      <c r="Q335"/>
      <c r="R335"/>
      <c r="S335"/>
      <c r="T335"/>
    </row>
    <row r="336" spans="1:20">
      <c r="A336" s="66" t="s">
        <v>517</v>
      </c>
      <c r="B336" s="38"/>
      <c r="C336" s="39">
        <f t="shared" ref="C336:N336" si="56">C337+C341+C352+C355+C357+C366</f>
        <v>5306000</v>
      </c>
      <c r="D336" s="39">
        <f t="shared" si="56"/>
        <v>536000</v>
      </c>
      <c r="E336" s="39">
        <f t="shared" si="56"/>
        <v>1426000</v>
      </c>
      <c r="F336" s="39">
        <f t="shared" si="56"/>
        <v>48000</v>
      </c>
      <c r="G336" s="39">
        <f t="shared" si="56"/>
        <v>36000</v>
      </c>
      <c r="H336" s="39">
        <f t="shared" si="56"/>
        <v>6000</v>
      </c>
      <c r="I336" s="39">
        <f t="shared" si="56"/>
        <v>26000</v>
      </c>
      <c r="J336" s="39">
        <f t="shared" si="56"/>
        <v>6000</v>
      </c>
      <c r="K336" s="39">
        <f t="shared" si="56"/>
        <v>1006000</v>
      </c>
      <c r="L336" s="39">
        <f t="shared" si="56"/>
        <v>6000</v>
      </c>
      <c r="M336" s="39">
        <f t="shared" si="56"/>
        <v>6000</v>
      </c>
      <c r="N336" s="39">
        <f t="shared" si="56"/>
        <v>6000</v>
      </c>
      <c r="O336" s="39">
        <f>SUM(C336:N336)</f>
        <v>8414000</v>
      </c>
      <c r="P336"/>
      <c r="Q336"/>
      <c r="R336"/>
      <c r="S336"/>
      <c r="T336"/>
    </row>
    <row r="337" spans="1:20">
      <c r="A337" s="63" t="s">
        <v>518</v>
      </c>
      <c r="B337" s="32"/>
      <c r="C337" s="33">
        <f>SUM(C338:C339)</f>
        <v>0</v>
      </c>
      <c r="D337" s="33">
        <f t="shared" ref="D337:O337" si="57">SUM(D338:D339)</f>
        <v>0</v>
      </c>
      <c r="E337" s="33">
        <f t="shared" si="57"/>
        <v>120000</v>
      </c>
      <c r="F337" s="33">
        <f t="shared" si="57"/>
        <v>0</v>
      </c>
      <c r="G337" s="33">
        <f t="shared" si="57"/>
        <v>0</v>
      </c>
      <c r="H337" s="33">
        <f t="shared" si="57"/>
        <v>0</v>
      </c>
      <c r="I337" s="33">
        <f t="shared" si="57"/>
        <v>0</v>
      </c>
      <c r="J337" s="33">
        <f t="shared" si="57"/>
        <v>0</v>
      </c>
      <c r="K337" s="33">
        <f t="shared" si="57"/>
        <v>0</v>
      </c>
      <c r="L337" s="33">
        <f t="shared" si="57"/>
        <v>0</v>
      </c>
      <c r="M337" s="33">
        <f t="shared" si="57"/>
        <v>0</v>
      </c>
      <c r="N337" s="33">
        <f t="shared" si="57"/>
        <v>0</v>
      </c>
      <c r="O337" s="33">
        <f t="shared" si="57"/>
        <v>120000</v>
      </c>
      <c r="P337"/>
      <c r="Q337"/>
      <c r="R337"/>
      <c r="S337"/>
      <c r="T337"/>
    </row>
    <row r="338" spans="1:20" ht="30">
      <c r="A338" s="64" t="s">
        <v>519</v>
      </c>
      <c r="B338" s="34" t="s">
        <v>495</v>
      </c>
      <c r="C338" s="35"/>
      <c r="D338" s="35"/>
      <c r="E338" s="35">
        <v>120000</v>
      </c>
      <c r="F338" s="35"/>
      <c r="G338" s="35"/>
      <c r="H338" s="35"/>
      <c r="I338" s="35"/>
      <c r="J338" s="35"/>
      <c r="K338" s="35"/>
      <c r="L338" s="35"/>
      <c r="M338" s="35"/>
      <c r="N338" s="35"/>
      <c r="O338" s="35">
        <f>SUM(C338:N338)</f>
        <v>120000</v>
      </c>
      <c r="P338"/>
      <c r="Q338"/>
      <c r="R338"/>
      <c r="S338"/>
      <c r="T338"/>
    </row>
    <row r="339" spans="1:20">
      <c r="A339" s="67" t="s">
        <v>520</v>
      </c>
      <c r="B339" s="34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>
        <f>SUM(C339:N339)</f>
        <v>0</v>
      </c>
      <c r="P339"/>
      <c r="Q339"/>
      <c r="R339"/>
      <c r="S339"/>
      <c r="T339"/>
    </row>
    <row r="340" spans="1:20">
      <c r="A340" s="64"/>
      <c r="B340" s="34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/>
      <c r="Q340"/>
      <c r="R340"/>
      <c r="S340"/>
      <c r="T340"/>
    </row>
    <row r="341" spans="1:20">
      <c r="A341" s="63" t="s">
        <v>521</v>
      </c>
      <c r="B341" s="32"/>
      <c r="C341" s="33">
        <f>SUM(C342:C350)</f>
        <v>0</v>
      </c>
      <c r="D341" s="33">
        <f t="shared" ref="D341:N341" si="58">SUM(D342:D350)</f>
        <v>530000</v>
      </c>
      <c r="E341" s="33">
        <f t="shared" si="58"/>
        <v>1000000</v>
      </c>
      <c r="F341" s="33">
        <f t="shared" si="58"/>
        <v>0</v>
      </c>
      <c r="G341" s="33">
        <f t="shared" si="58"/>
        <v>30000</v>
      </c>
      <c r="H341" s="33">
        <f t="shared" si="58"/>
        <v>0</v>
      </c>
      <c r="I341" s="33">
        <f t="shared" si="58"/>
        <v>0</v>
      </c>
      <c r="J341" s="33">
        <f t="shared" si="58"/>
        <v>0</v>
      </c>
      <c r="K341" s="33">
        <f>SUM(K342:K350)</f>
        <v>1000000</v>
      </c>
      <c r="L341" s="33">
        <f t="shared" si="58"/>
        <v>0</v>
      </c>
      <c r="M341" s="33">
        <f t="shared" si="58"/>
        <v>0</v>
      </c>
      <c r="N341" s="33">
        <f t="shared" si="58"/>
        <v>0</v>
      </c>
      <c r="O341" s="33">
        <f t="shared" ref="O341" si="59">SUM(O342:O349)</f>
        <v>1560000</v>
      </c>
      <c r="P341"/>
      <c r="Q341"/>
      <c r="R341"/>
      <c r="S341"/>
      <c r="T341"/>
    </row>
    <row r="342" spans="1:20">
      <c r="A342" s="64" t="s">
        <v>522</v>
      </c>
      <c r="B342" s="34"/>
      <c r="C342" s="35"/>
      <c r="D342" s="35"/>
      <c r="E342" s="35">
        <v>600000</v>
      </c>
      <c r="F342" s="35"/>
      <c r="G342" s="35"/>
      <c r="H342" s="35"/>
      <c r="I342" s="35"/>
      <c r="J342" s="35"/>
      <c r="K342" s="35"/>
      <c r="L342" s="35"/>
      <c r="M342" s="35"/>
      <c r="N342" s="35"/>
      <c r="O342" s="35">
        <f t="shared" ref="O342:O350" si="60">SUM(C342:N342)</f>
        <v>600000</v>
      </c>
      <c r="P342"/>
      <c r="Q342"/>
      <c r="R342"/>
      <c r="S342"/>
      <c r="T342"/>
    </row>
    <row r="343" spans="1:20" ht="30">
      <c r="A343" s="64" t="s">
        <v>523</v>
      </c>
      <c r="B343" s="34" t="s">
        <v>524</v>
      </c>
      <c r="C343" s="35"/>
      <c r="D343" s="35">
        <v>70000</v>
      </c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>
        <f t="shared" si="60"/>
        <v>70000</v>
      </c>
      <c r="P343"/>
      <c r="Q343"/>
      <c r="R343"/>
      <c r="S343"/>
      <c r="T343"/>
    </row>
    <row r="344" spans="1:20">
      <c r="A344" s="67" t="s">
        <v>525</v>
      </c>
      <c r="B344" s="34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>
        <f t="shared" si="60"/>
        <v>0</v>
      </c>
      <c r="P344"/>
      <c r="Q344"/>
      <c r="R344"/>
      <c r="S344"/>
      <c r="T344"/>
    </row>
    <row r="345" spans="1:20">
      <c r="A345" s="64" t="s">
        <v>526</v>
      </c>
      <c r="B345" s="34"/>
      <c r="C345" s="35"/>
      <c r="D345" s="35">
        <v>400000</v>
      </c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>
        <f t="shared" si="60"/>
        <v>400000</v>
      </c>
      <c r="P345"/>
      <c r="Q345"/>
      <c r="R345"/>
      <c r="S345"/>
      <c r="T345"/>
    </row>
    <row r="346" spans="1:20" ht="30">
      <c r="A346" s="64" t="s">
        <v>527</v>
      </c>
      <c r="B346" s="34"/>
      <c r="C346" s="35"/>
      <c r="D346" s="35"/>
      <c r="E346" s="35"/>
      <c r="F346" s="35"/>
      <c r="G346" s="35">
        <v>30000</v>
      </c>
      <c r="H346" s="35"/>
      <c r="I346" s="35"/>
      <c r="J346" s="35"/>
      <c r="K346" s="35"/>
      <c r="L346" s="35"/>
      <c r="M346" s="35"/>
      <c r="N346" s="35"/>
      <c r="O346" s="35">
        <f t="shared" si="60"/>
        <v>30000</v>
      </c>
      <c r="P346"/>
      <c r="Q346"/>
      <c r="R346"/>
      <c r="S346"/>
      <c r="T346"/>
    </row>
    <row r="347" spans="1:20">
      <c r="A347" s="64" t="s">
        <v>528</v>
      </c>
      <c r="B347" s="34"/>
      <c r="C347" s="35"/>
      <c r="D347" s="35"/>
      <c r="E347" s="35">
        <v>400000</v>
      </c>
      <c r="F347" s="35"/>
      <c r="G347" s="35"/>
      <c r="H347" s="35"/>
      <c r="I347" s="35"/>
      <c r="J347" s="35"/>
      <c r="K347" s="35"/>
      <c r="L347" s="35"/>
      <c r="M347" s="35"/>
      <c r="N347" s="35"/>
      <c r="O347" s="35">
        <f t="shared" si="60"/>
        <v>400000</v>
      </c>
      <c r="P347"/>
      <c r="Q347"/>
      <c r="R347"/>
      <c r="S347"/>
      <c r="T347"/>
    </row>
    <row r="348" spans="1:20" ht="30">
      <c r="A348" s="64" t="s">
        <v>529</v>
      </c>
      <c r="B348" s="34" t="s">
        <v>530</v>
      </c>
      <c r="C348" s="35"/>
      <c r="D348" s="35">
        <v>60000</v>
      </c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>
        <f t="shared" si="60"/>
        <v>60000</v>
      </c>
      <c r="P348"/>
      <c r="Q348"/>
      <c r="R348"/>
      <c r="S348"/>
      <c r="T348"/>
    </row>
    <row r="349" spans="1:20">
      <c r="A349" s="67" t="s">
        <v>531</v>
      </c>
      <c r="B349" s="34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>
        <f t="shared" si="60"/>
        <v>0</v>
      </c>
      <c r="P349"/>
      <c r="Q349"/>
      <c r="R349"/>
      <c r="S349"/>
      <c r="T349"/>
    </row>
    <row r="350" spans="1:20" ht="30">
      <c r="A350" s="64" t="s">
        <v>532</v>
      </c>
      <c r="B350" s="34" t="s">
        <v>533</v>
      </c>
      <c r="C350" s="35"/>
      <c r="D350" s="35"/>
      <c r="E350" s="35"/>
      <c r="F350" s="35"/>
      <c r="G350" s="35"/>
      <c r="H350" s="35"/>
      <c r="I350" s="35"/>
      <c r="J350" s="35"/>
      <c r="K350" s="35">
        <v>1000000</v>
      </c>
      <c r="L350" s="35"/>
      <c r="M350" s="35"/>
      <c r="N350" s="35"/>
      <c r="O350" s="35">
        <f t="shared" si="60"/>
        <v>1000000</v>
      </c>
      <c r="P350"/>
      <c r="Q350"/>
      <c r="R350"/>
      <c r="S350"/>
      <c r="T350"/>
    </row>
    <row r="351" spans="1:20">
      <c r="A351" s="64" t="s">
        <v>534</v>
      </c>
      <c r="B351" s="34"/>
      <c r="C351" s="35"/>
      <c r="D351" s="35"/>
      <c r="E351" s="35">
        <v>50000</v>
      </c>
      <c r="F351" s="35"/>
      <c r="G351" s="35"/>
      <c r="H351" s="35"/>
      <c r="I351" s="35"/>
      <c r="J351" s="35"/>
      <c r="K351" s="35"/>
      <c r="L351" s="35"/>
      <c r="M351" s="35"/>
      <c r="N351" s="35"/>
      <c r="O351" s="35">
        <v>50000</v>
      </c>
      <c r="P351"/>
      <c r="Q351"/>
      <c r="R351"/>
      <c r="S351"/>
      <c r="T351"/>
    </row>
    <row r="352" spans="1:20">
      <c r="A352" s="63" t="s">
        <v>535</v>
      </c>
      <c r="B352" s="32"/>
      <c r="C352" s="33">
        <f t="shared" ref="C352:N352" si="61">SUM(C353:C354)</f>
        <v>0</v>
      </c>
      <c r="D352" s="33">
        <f t="shared" si="61"/>
        <v>0</v>
      </c>
      <c r="E352" s="33">
        <f t="shared" si="61"/>
        <v>0</v>
      </c>
      <c r="F352" s="33">
        <f t="shared" si="61"/>
        <v>2000</v>
      </c>
      <c r="G352" s="33">
        <f t="shared" si="61"/>
        <v>0</v>
      </c>
      <c r="H352" s="33">
        <f t="shared" si="61"/>
        <v>0</v>
      </c>
      <c r="I352" s="33">
        <f t="shared" si="61"/>
        <v>0</v>
      </c>
      <c r="J352" s="33">
        <f t="shared" si="61"/>
        <v>0</v>
      </c>
      <c r="K352" s="33">
        <f t="shared" si="61"/>
        <v>0</v>
      </c>
      <c r="L352" s="33">
        <f t="shared" si="61"/>
        <v>0</v>
      </c>
      <c r="M352" s="33">
        <f t="shared" si="61"/>
        <v>0</v>
      </c>
      <c r="N352" s="33">
        <f t="shared" si="61"/>
        <v>0</v>
      </c>
      <c r="O352" s="33">
        <f>SUM(O353:O353)</f>
        <v>2000</v>
      </c>
      <c r="P352"/>
      <c r="Q352"/>
      <c r="R352"/>
      <c r="S352"/>
      <c r="T352"/>
    </row>
    <row r="353" spans="1:20">
      <c r="A353" s="64" t="s">
        <v>536</v>
      </c>
      <c r="B353" s="34"/>
      <c r="C353" s="35"/>
      <c r="D353" s="35"/>
      <c r="E353" s="35"/>
      <c r="F353" s="35">
        <v>2000</v>
      </c>
      <c r="G353" s="35"/>
      <c r="H353" s="35"/>
      <c r="I353" s="35"/>
      <c r="J353" s="35"/>
      <c r="K353" s="35"/>
      <c r="L353" s="35"/>
      <c r="M353" s="35"/>
      <c r="N353" s="35"/>
      <c r="O353" s="35">
        <f>SUM(C353:N353)</f>
        <v>2000</v>
      </c>
      <c r="P353"/>
      <c r="Q353"/>
      <c r="R353"/>
      <c r="S353"/>
      <c r="T353"/>
    </row>
    <row r="354" spans="1:20">
      <c r="A354" s="64"/>
      <c r="B354" s="34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/>
      <c r="Q354"/>
      <c r="R354"/>
      <c r="S354"/>
      <c r="T354"/>
    </row>
    <row r="355" spans="1:20">
      <c r="A355" s="63" t="s">
        <v>537</v>
      </c>
      <c r="B355" s="32"/>
      <c r="C355" s="33">
        <f t="shared" ref="C355:N355" si="62">SUM(C356:C356)</f>
        <v>0</v>
      </c>
      <c r="D355" s="33">
        <f t="shared" si="62"/>
        <v>0</v>
      </c>
      <c r="E355" s="33">
        <f t="shared" si="62"/>
        <v>200000</v>
      </c>
      <c r="F355" s="33">
        <f t="shared" si="62"/>
        <v>0</v>
      </c>
      <c r="G355" s="33">
        <f t="shared" si="62"/>
        <v>0</v>
      </c>
      <c r="H355" s="33">
        <f t="shared" si="62"/>
        <v>0</v>
      </c>
      <c r="I355" s="33">
        <f t="shared" si="62"/>
        <v>0</v>
      </c>
      <c r="J355" s="33">
        <f t="shared" si="62"/>
        <v>0</v>
      </c>
      <c r="K355" s="33">
        <f t="shared" si="62"/>
        <v>0</v>
      </c>
      <c r="L355" s="33">
        <f t="shared" si="62"/>
        <v>0</v>
      </c>
      <c r="M355" s="33">
        <f t="shared" si="62"/>
        <v>0</v>
      </c>
      <c r="N355" s="33">
        <f t="shared" si="62"/>
        <v>0</v>
      </c>
      <c r="O355" s="33">
        <f t="shared" ref="O355:O364" si="63">SUM(C355:N355)</f>
        <v>200000</v>
      </c>
      <c r="P355"/>
      <c r="Q355"/>
      <c r="R355"/>
      <c r="S355"/>
      <c r="T355"/>
    </row>
    <row r="356" spans="1:20" ht="45">
      <c r="A356" s="64" t="s">
        <v>538</v>
      </c>
      <c r="B356" s="34" t="s">
        <v>539</v>
      </c>
      <c r="C356" s="35"/>
      <c r="D356" s="35"/>
      <c r="E356" s="35">
        <v>200000</v>
      </c>
      <c r="F356" s="35"/>
      <c r="G356" s="35"/>
      <c r="H356" s="35"/>
      <c r="I356" s="35"/>
      <c r="J356" s="35"/>
      <c r="K356" s="35"/>
      <c r="L356" s="35"/>
      <c r="M356" s="35"/>
      <c r="N356" s="35"/>
      <c r="O356" s="35">
        <f t="shared" si="63"/>
        <v>200000</v>
      </c>
      <c r="P356"/>
      <c r="Q356"/>
      <c r="R356"/>
      <c r="S356"/>
      <c r="T356"/>
    </row>
    <row r="357" spans="1:20">
      <c r="A357" s="63" t="s">
        <v>540</v>
      </c>
      <c r="B357" s="32"/>
      <c r="C357" s="33">
        <f t="shared" ref="C357:N357" si="64">SUM(C358:C365)</f>
        <v>5306000</v>
      </c>
      <c r="D357" s="33">
        <f t="shared" si="64"/>
        <v>6000</v>
      </c>
      <c r="E357" s="33">
        <f t="shared" si="64"/>
        <v>106000</v>
      </c>
      <c r="F357" s="33">
        <f t="shared" si="64"/>
        <v>46000</v>
      </c>
      <c r="G357" s="33">
        <f t="shared" si="64"/>
        <v>6000</v>
      </c>
      <c r="H357" s="33">
        <f t="shared" si="64"/>
        <v>6000</v>
      </c>
      <c r="I357" s="33">
        <f t="shared" si="64"/>
        <v>26000</v>
      </c>
      <c r="J357" s="33">
        <f t="shared" si="64"/>
        <v>6000</v>
      </c>
      <c r="K357" s="33">
        <f t="shared" si="64"/>
        <v>6000</v>
      </c>
      <c r="L357" s="33">
        <f t="shared" si="64"/>
        <v>6000</v>
      </c>
      <c r="M357" s="33">
        <f t="shared" si="64"/>
        <v>6000</v>
      </c>
      <c r="N357" s="33">
        <f t="shared" si="64"/>
        <v>6000</v>
      </c>
      <c r="O357" s="33">
        <f t="shared" si="63"/>
        <v>5532000</v>
      </c>
      <c r="P357"/>
      <c r="Q357"/>
      <c r="R357"/>
      <c r="S357"/>
      <c r="T357"/>
    </row>
    <row r="358" spans="1:20" ht="45">
      <c r="A358" s="64" t="s">
        <v>541</v>
      </c>
      <c r="B358" s="34" t="s">
        <v>542</v>
      </c>
      <c r="C358" s="35">
        <v>5000000</v>
      </c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>
        <f t="shared" si="63"/>
        <v>5000000</v>
      </c>
      <c r="P358"/>
      <c r="Q358"/>
      <c r="R358"/>
      <c r="S358"/>
      <c r="T358"/>
    </row>
    <row r="359" spans="1:20">
      <c r="A359" s="64" t="s">
        <v>543</v>
      </c>
      <c r="B359" s="34"/>
      <c r="C359" s="35"/>
      <c r="D359" s="35"/>
      <c r="E359" s="35">
        <v>100000</v>
      </c>
      <c r="F359" s="35"/>
      <c r="G359" s="35"/>
      <c r="H359" s="35"/>
      <c r="I359" s="35"/>
      <c r="J359" s="35"/>
      <c r="K359" s="35"/>
      <c r="L359" s="35"/>
      <c r="M359" s="35"/>
      <c r="N359" s="35"/>
      <c r="O359" s="35">
        <f t="shared" si="63"/>
        <v>100000</v>
      </c>
      <c r="P359"/>
      <c r="Q359"/>
      <c r="R359"/>
      <c r="S359"/>
      <c r="T359"/>
    </row>
    <row r="360" spans="1:20">
      <c r="A360" s="64" t="s">
        <v>544</v>
      </c>
      <c r="B360" s="34"/>
      <c r="C360" s="35"/>
      <c r="D360" s="35"/>
      <c r="E360" s="35"/>
      <c r="F360" s="35">
        <v>40000</v>
      </c>
      <c r="G360" s="35"/>
      <c r="H360" s="35"/>
      <c r="I360" s="35"/>
      <c r="J360" s="35"/>
      <c r="K360" s="35"/>
      <c r="L360" s="35"/>
      <c r="M360" s="35"/>
      <c r="N360" s="35"/>
      <c r="O360" s="35">
        <f t="shared" si="63"/>
        <v>40000</v>
      </c>
      <c r="P360"/>
      <c r="Q360"/>
      <c r="R360"/>
      <c r="S360"/>
      <c r="T360"/>
    </row>
    <row r="361" spans="1:20">
      <c r="A361" s="64" t="s">
        <v>545</v>
      </c>
      <c r="B361" s="34"/>
      <c r="C361" s="35"/>
      <c r="D361" s="35"/>
      <c r="E361" s="35"/>
      <c r="F361" s="35"/>
      <c r="G361" s="35"/>
      <c r="H361" s="35"/>
      <c r="I361" s="35">
        <v>20000</v>
      </c>
      <c r="J361" s="35"/>
      <c r="K361" s="35"/>
      <c r="L361" s="35"/>
      <c r="M361" s="35"/>
      <c r="N361" s="35"/>
      <c r="O361" s="35">
        <f t="shared" si="63"/>
        <v>20000</v>
      </c>
      <c r="P361"/>
      <c r="Q361"/>
      <c r="R361"/>
      <c r="S361"/>
      <c r="T361"/>
    </row>
    <row r="362" spans="1:20">
      <c r="A362" s="64" t="s">
        <v>546</v>
      </c>
      <c r="B362" s="34"/>
      <c r="C362" s="35">
        <v>300000</v>
      </c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>
        <f t="shared" si="63"/>
        <v>300000</v>
      </c>
      <c r="P362"/>
      <c r="Q362"/>
      <c r="R362"/>
      <c r="S362"/>
      <c r="T362"/>
    </row>
    <row r="363" spans="1:20" ht="45">
      <c r="A363" s="64" t="s">
        <v>547</v>
      </c>
      <c r="B363" s="34" t="s">
        <v>548</v>
      </c>
      <c r="C363" s="35">
        <v>6000</v>
      </c>
      <c r="D363" s="35">
        <v>6000</v>
      </c>
      <c r="E363" s="35">
        <v>6000</v>
      </c>
      <c r="F363" s="35">
        <v>6000</v>
      </c>
      <c r="G363" s="35">
        <v>6000</v>
      </c>
      <c r="H363" s="35">
        <v>6000</v>
      </c>
      <c r="I363" s="35">
        <v>6000</v>
      </c>
      <c r="J363" s="35">
        <v>6000</v>
      </c>
      <c r="K363" s="35">
        <v>6000</v>
      </c>
      <c r="L363" s="35">
        <v>6000</v>
      </c>
      <c r="M363" s="35">
        <v>6000</v>
      </c>
      <c r="N363" s="35">
        <v>6000</v>
      </c>
      <c r="O363" s="35">
        <f t="shared" si="63"/>
        <v>72000</v>
      </c>
      <c r="P363"/>
      <c r="Q363"/>
      <c r="R363"/>
      <c r="S363"/>
      <c r="T363"/>
    </row>
    <row r="364" spans="1:20">
      <c r="A364" s="64"/>
      <c r="B364" s="34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>
        <f t="shared" si="63"/>
        <v>0</v>
      </c>
      <c r="P364"/>
      <c r="Q364"/>
      <c r="R364"/>
      <c r="S364"/>
      <c r="T364"/>
    </row>
    <row r="365" spans="1:20">
      <c r="A365" s="64"/>
      <c r="B365" s="34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/>
      <c r="Q365"/>
      <c r="R365"/>
      <c r="S365"/>
      <c r="T365"/>
    </row>
    <row r="366" spans="1:20">
      <c r="A366" s="68" t="s">
        <v>549</v>
      </c>
      <c r="B366" s="40"/>
      <c r="C366" s="41">
        <f>SUM(C367:C371)</f>
        <v>0</v>
      </c>
      <c r="D366" s="41">
        <f t="shared" ref="D366:N366" si="65">SUM(D367:D371)</f>
        <v>0</v>
      </c>
      <c r="E366" s="41">
        <f t="shared" si="65"/>
        <v>0</v>
      </c>
      <c r="F366" s="41">
        <f t="shared" si="65"/>
        <v>0</v>
      </c>
      <c r="G366" s="41">
        <f t="shared" si="65"/>
        <v>0</v>
      </c>
      <c r="H366" s="41">
        <f t="shared" si="65"/>
        <v>0</v>
      </c>
      <c r="I366" s="41">
        <f t="shared" si="65"/>
        <v>0</v>
      </c>
      <c r="J366" s="41">
        <f t="shared" si="65"/>
        <v>0</v>
      </c>
      <c r="K366" s="41">
        <f t="shared" si="65"/>
        <v>0</v>
      </c>
      <c r="L366" s="41">
        <f t="shared" si="65"/>
        <v>0</v>
      </c>
      <c r="M366" s="41">
        <f t="shared" si="65"/>
        <v>0</v>
      </c>
      <c r="N366" s="41">
        <f t="shared" si="65"/>
        <v>0</v>
      </c>
      <c r="O366" s="41">
        <v>0</v>
      </c>
      <c r="P366"/>
      <c r="Q366"/>
      <c r="R366"/>
      <c r="S366"/>
      <c r="T366"/>
    </row>
    <row r="367" spans="1:20">
      <c r="A367" s="68"/>
      <c r="B367" s="40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35">
        <f>SUM(C367:N367)</f>
        <v>0</v>
      </c>
      <c r="P367"/>
      <c r="Q367"/>
      <c r="R367"/>
      <c r="S367"/>
      <c r="T367"/>
    </row>
    <row r="368" spans="1:20">
      <c r="A368" s="68"/>
      <c r="B368" s="40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35">
        <f>SUM(C368:N368)</f>
        <v>0</v>
      </c>
      <c r="P368"/>
      <c r="Q368"/>
      <c r="R368"/>
      <c r="S368"/>
      <c r="T368"/>
    </row>
    <row r="369" spans="1:20">
      <c r="A369" s="68"/>
      <c r="B369" s="40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35">
        <f>SUM(C369:N369)</f>
        <v>0</v>
      </c>
      <c r="P369"/>
      <c r="Q369"/>
      <c r="R369"/>
      <c r="S369"/>
      <c r="T369"/>
    </row>
    <row r="370" spans="1:20">
      <c r="A370" s="68"/>
      <c r="B370" s="40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35">
        <f>SUM(C370:N370)</f>
        <v>0</v>
      </c>
      <c r="P370"/>
      <c r="Q370"/>
      <c r="R370"/>
      <c r="S370"/>
      <c r="T370"/>
    </row>
    <row r="371" spans="1:20">
      <c r="A371" s="68"/>
      <c r="B371" s="40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35">
        <f>SUM(C371:N371)</f>
        <v>0</v>
      </c>
      <c r="P371"/>
      <c r="Q371"/>
      <c r="R371"/>
      <c r="S371"/>
      <c r="T371"/>
    </row>
    <row r="372" spans="1:20" ht="15.75" thickBot="1"/>
    <row r="373" spans="1:20" ht="27.75" thickTop="1" thickBot="1">
      <c r="A373" s="489" t="s">
        <v>316</v>
      </c>
    </row>
    <row r="374" spans="1:20" ht="27.75" thickTop="1" thickBot="1">
      <c r="A374" s="488" t="s">
        <v>591</v>
      </c>
    </row>
    <row r="375" spans="1:20" s="16" customFormat="1" ht="27" thickTop="1">
      <c r="A375" s="492"/>
      <c r="B375" s="11"/>
      <c r="C375" s="7"/>
      <c r="D375" s="13"/>
      <c r="E375" s="4"/>
      <c r="F375" s="4"/>
      <c r="G375" s="4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1:20" ht="52.5">
      <c r="A376" s="70" t="s">
        <v>53</v>
      </c>
      <c r="B376" s="49" t="s">
        <v>0</v>
      </c>
      <c r="C376" s="49" t="s">
        <v>1</v>
      </c>
      <c r="D376" s="49" t="s">
        <v>2</v>
      </c>
      <c r="E376" s="49" t="s">
        <v>3</v>
      </c>
      <c r="F376" s="49" t="s">
        <v>4</v>
      </c>
      <c r="G376" s="49" t="s">
        <v>5</v>
      </c>
      <c r="H376" s="49" t="s">
        <v>6</v>
      </c>
      <c r="I376" s="49" t="s">
        <v>7</v>
      </c>
      <c r="J376" s="49" t="s">
        <v>8</v>
      </c>
      <c r="K376" s="49" t="s">
        <v>9</v>
      </c>
      <c r="L376" s="49" t="s">
        <v>10</v>
      </c>
      <c r="M376" s="49" t="s">
        <v>11</v>
      </c>
      <c r="N376" s="49" t="s">
        <v>12</v>
      </c>
    </row>
    <row r="377" spans="1:20">
      <c r="A377" s="57" t="s">
        <v>556</v>
      </c>
      <c r="B377" s="42">
        <f t="shared" ref="B377:M377" si="66">SUM(B378:B380)</f>
        <v>0</v>
      </c>
      <c r="C377" s="42">
        <f t="shared" si="66"/>
        <v>0</v>
      </c>
      <c r="D377" s="42">
        <f t="shared" si="66"/>
        <v>0</v>
      </c>
      <c r="E377" s="42">
        <f t="shared" si="66"/>
        <v>0</v>
      </c>
      <c r="F377" s="42">
        <f t="shared" si="66"/>
        <v>0</v>
      </c>
      <c r="G377" s="42">
        <f t="shared" si="66"/>
        <v>0</v>
      </c>
      <c r="H377" s="42">
        <f t="shared" si="66"/>
        <v>0</v>
      </c>
      <c r="I377" s="42">
        <f t="shared" si="66"/>
        <v>0</v>
      </c>
      <c r="J377" s="42">
        <f t="shared" si="66"/>
        <v>0</v>
      </c>
      <c r="K377" s="42">
        <f t="shared" si="66"/>
        <v>0</v>
      </c>
      <c r="L377" s="42">
        <f t="shared" si="66"/>
        <v>0</v>
      </c>
      <c r="M377" s="42">
        <f t="shared" si="66"/>
        <v>0</v>
      </c>
      <c r="N377" s="42">
        <f t="shared" ref="N377:N386" si="67">SUM(B377:M377)</f>
        <v>0</v>
      </c>
    </row>
    <row r="378" spans="1:20">
      <c r="A378" s="58" t="s">
        <v>557</v>
      </c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>
        <f t="shared" si="67"/>
        <v>0</v>
      </c>
    </row>
    <row r="379" spans="1:20">
      <c r="A379" s="58" t="s">
        <v>558</v>
      </c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>
        <f t="shared" si="67"/>
        <v>0</v>
      </c>
    </row>
    <row r="380" spans="1:20">
      <c r="A380" s="58" t="s">
        <v>559</v>
      </c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>
        <f t="shared" si="67"/>
        <v>0</v>
      </c>
    </row>
    <row r="381" spans="1:20">
      <c r="A381" s="57" t="s">
        <v>560</v>
      </c>
      <c r="B381" s="42">
        <f t="shared" ref="B381:M381" si="68">SUM(B382:B386)</f>
        <v>0</v>
      </c>
      <c r="C381" s="42">
        <f t="shared" si="68"/>
        <v>51000</v>
      </c>
      <c r="D381" s="42">
        <f t="shared" si="68"/>
        <v>0</v>
      </c>
      <c r="E381" s="42">
        <f t="shared" si="68"/>
        <v>0</v>
      </c>
      <c r="F381" s="42">
        <f t="shared" si="68"/>
        <v>0</v>
      </c>
      <c r="G381" s="42">
        <f t="shared" si="68"/>
        <v>0</v>
      </c>
      <c r="H381" s="42">
        <f t="shared" si="68"/>
        <v>0</v>
      </c>
      <c r="I381" s="42">
        <f t="shared" si="68"/>
        <v>0</v>
      </c>
      <c r="J381" s="42">
        <f t="shared" si="68"/>
        <v>0</v>
      </c>
      <c r="K381" s="42">
        <f t="shared" si="68"/>
        <v>0</v>
      </c>
      <c r="L381" s="42">
        <f t="shared" si="68"/>
        <v>0</v>
      </c>
      <c r="M381" s="42">
        <f t="shared" si="68"/>
        <v>0</v>
      </c>
      <c r="N381" s="42">
        <f t="shared" si="67"/>
        <v>51000</v>
      </c>
    </row>
    <row r="382" spans="1:20">
      <c r="A382" s="58" t="s">
        <v>561</v>
      </c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>
        <f t="shared" si="67"/>
        <v>0</v>
      </c>
    </row>
    <row r="383" spans="1:20">
      <c r="A383" s="58" t="s">
        <v>562</v>
      </c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>
        <f t="shared" si="67"/>
        <v>0</v>
      </c>
    </row>
    <row r="384" spans="1:20">
      <c r="A384" s="58" t="s">
        <v>562</v>
      </c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>
        <f t="shared" si="67"/>
        <v>0</v>
      </c>
    </row>
    <row r="385" spans="1:14">
      <c r="A385" s="58" t="s">
        <v>563</v>
      </c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>
        <f t="shared" si="67"/>
        <v>0</v>
      </c>
    </row>
    <row r="386" spans="1:14">
      <c r="A386" s="58" t="s">
        <v>564</v>
      </c>
      <c r="B386" s="43"/>
      <c r="C386" s="43">
        <f>8500*6</f>
        <v>51000</v>
      </c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>
        <f t="shared" si="67"/>
        <v>51000</v>
      </c>
    </row>
    <row r="387" spans="1:14">
      <c r="A387" s="57" t="s">
        <v>565</v>
      </c>
      <c r="B387" s="42">
        <f t="shared" ref="B387:N389" si="69">SUM(B388:B388)</f>
        <v>0</v>
      </c>
      <c r="C387" s="42">
        <f t="shared" si="69"/>
        <v>0</v>
      </c>
      <c r="D387" s="42">
        <f t="shared" si="69"/>
        <v>4500</v>
      </c>
      <c r="E387" s="42">
        <f t="shared" si="69"/>
        <v>0</v>
      </c>
      <c r="F387" s="42">
        <f t="shared" si="69"/>
        <v>0</v>
      </c>
      <c r="G387" s="42">
        <f t="shared" si="69"/>
        <v>0</v>
      </c>
      <c r="H387" s="42">
        <f t="shared" si="69"/>
        <v>0</v>
      </c>
      <c r="I387" s="42">
        <f t="shared" si="69"/>
        <v>2600</v>
      </c>
      <c r="J387" s="42">
        <f t="shared" si="69"/>
        <v>0</v>
      </c>
      <c r="K387" s="42">
        <f t="shared" si="69"/>
        <v>0</v>
      </c>
      <c r="L387" s="42">
        <f t="shared" si="69"/>
        <v>0</v>
      </c>
      <c r="M387" s="42">
        <f t="shared" si="69"/>
        <v>5000</v>
      </c>
      <c r="N387" s="42">
        <f t="shared" si="69"/>
        <v>12100</v>
      </c>
    </row>
    <row r="388" spans="1:14">
      <c r="A388" s="58" t="s">
        <v>566</v>
      </c>
      <c r="B388" s="43"/>
      <c r="C388" s="43"/>
      <c r="D388" s="43">
        <v>4500</v>
      </c>
      <c r="E388" s="43"/>
      <c r="F388" s="43"/>
      <c r="G388" s="43"/>
      <c r="H388" s="43"/>
      <c r="I388" s="43">
        <v>2600</v>
      </c>
      <c r="J388" s="43"/>
      <c r="K388" s="43"/>
      <c r="L388" s="43"/>
      <c r="M388" s="43">
        <v>5000</v>
      </c>
      <c r="N388" s="43">
        <f>SUM(B388:M388)</f>
        <v>12100</v>
      </c>
    </row>
    <row r="389" spans="1:14">
      <c r="A389" s="57" t="s">
        <v>567</v>
      </c>
      <c r="B389" s="42">
        <f t="shared" si="69"/>
        <v>0</v>
      </c>
      <c r="C389" s="42">
        <f t="shared" si="69"/>
        <v>0</v>
      </c>
      <c r="D389" s="42">
        <f t="shared" si="69"/>
        <v>0</v>
      </c>
      <c r="E389" s="42">
        <f t="shared" si="69"/>
        <v>0</v>
      </c>
      <c r="F389" s="42">
        <f t="shared" si="69"/>
        <v>0</v>
      </c>
      <c r="G389" s="42">
        <f t="shared" si="69"/>
        <v>0</v>
      </c>
      <c r="H389" s="42">
        <f t="shared" si="69"/>
        <v>0</v>
      </c>
      <c r="I389" s="42">
        <f t="shared" si="69"/>
        <v>0</v>
      </c>
      <c r="J389" s="42">
        <f t="shared" si="69"/>
        <v>0</v>
      </c>
      <c r="K389" s="42">
        <f t="shared" si="69"/>
        <v>0</v>
      </c>
      <c r="L389" s="42">
        <f t="shared" si="69"/>
        <v>0</v>
      </c>
      <c r="M389" s="42">
        <f t="shared" si="69"/>
        <v>0</v>
      </c>
      <c r="N389" s="42">
        <f t="shared" si="69"/>
        <v>0</v>
      </c>
    </row>
    <row r="390" spans="1:14">
      <c r="A390" s="58" t="s">
        <v>568</v>
      </c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>
        <f>SUM(B390:M390)</f>
        <v>0</v>
      </c>
    </row>
    <row r="391" spans="1:14">
      <c r="A391" s="57" t="s">
        <v>569</v>
      </c>
      <c r="B391" s="42">
        <f t="shared" ref="B391:N391" si="70">SUM(B392)</f>
        <v>0</v>
      </c>
      <c r="C391" s="42">
        <f t="shared" si="70"/>
        <v>0</v>
      </c>
      <c r="D391" s="42">
        <f t="shared" si="70"/>
        <v>0</v>
      </c>
      <c r="E391" s="42">
        <f t="shared" si="70"/>
        <v>0</v>
      </c>
      <c r="F391" s="42">
        <f t="shared" si="70"/>
        <v>0</v>
      </c>
      <c r="G391" s="42">
        <f t="shared" si="70"/>
        <v>0</v>
      </c>
      <c r="H391" s="42">
        <f t="shared" si="70"/>
        <v>0</v>
      </c>
      <c r="I391" s="42">
        <f t="shared" si="70"/>
        <v>0</v>
      </c>
      <c r="J391" s="42">
        <f t="shared" si="70"/>
        <v>0</v>
      </c>
      <c r="K391" s="42">
        <f t="shared" si="70"/>
        <v>0</v>
      </c>
      <c r="L391" s="42">
        <f t="shared" si="70"/>
        <v>0</v>
      </c>
      <c r="M391" s="42">
        <f t="shared" si="70"/>
        <v>0</v>
      </c>
      <c r="N391" s="42">
        <f t="shared" si="70"/>
        <v>0</v>
      </c>
    </row>
    <row r="392" spans="1:14">
      <c r="A392" s="58" t="s">
        <v>570</v>
      </c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>
        <f>SUM(B392:M392)</f>
        <v>0</v>
      </c>
    </row>
    <row r="393" spans="1:14">
      <c r="A393" s="59" t="s">
        <v>571</v>
      </c>
      <c r="B393" s="44">
        <f>B394+B398</f>
        <v>0</v>
      </c>
      <c r="C393" s="44">
        <f t="shared" ref="C393:M393" si="71">C394+C398</f>
        <v>0</v>
      </c>
      <c r="D393" s="44">
        <f t="shared" si="71"/>
        <v>0</v>
      </c>
      <c r="E393" s="44">
        <f t="shared" si="71"/>
        <v>0</v>
      </c>
      <c r="F393" s="44">
        <f t="shared" si="71"/>
        <v>0</v>
      </c>
      <c r="G393" s="44">
        <f t="shared" si="71"/>
        <v>0</v>
      </c>
      <c r="H393" s="44">
        <f t="shared" si="71"/>
        <v>0</v>
      </c>
      <c r="I393" s="44">
        <f t="shared" si="71"/>
        <v>0</v>
      </c>
      <c r="J393" s="44">
        <f t="shared" si="71"/>
        <v>0</v>
      </c>
      <c r="K393" s="44">
        <f t="shared" si="71"/>
        <v>0</v>
      </c>
      <c r="L393" s="44">
        <f t="shared" si="71"/>
        <v>0</v>
      </c>
      <c r="M393" s="44">
        <f t="shared" si="71"/>
        <v>0</v>
      </c>
      <c r="N393" s="44">
        <f>SUM(B393:M393)</f>
        <v>0</v>
      </c>
    </row>
    <row r="394" spans="1:14">
      <c r="A394" s="57" t="s">
        <v>572</v>
      </c>
      <c r="B394" s="42">
        <f t="shared" ref="B394:N394" si="72">SUM(B395:B397)</f>
        <v>0</v>
      </c>
      <c r="C394" s="42">
        <f t="shared" si="72"/>
        <v>0</v>
      </c>
      <c r="D394" s="42">
        <f t="shared" si="72"/>
        <v>0</v>
      </c>
      <c r="E394" s="42">
        <f t="shared" si="72"/>
        <v>0</v>
      </c>
      <c r="F394" s="42">
        <f t="shared" si="72"/>
        <v>0</v>
      </c>
      <c r="G394" s="42">
        <f t="shared" si="72"/>
        <v>0</v>
      </c>
      <c r="H394" s="42">
        <f t="shared" si="72"/>
        <v>0</v>
      </c>
      <c r="I394" s="42">
        <f t="shared" si="72"/>
        <v>0</v>
      </c>
      <c r="J394" s="42">
        <f t="shared" si="72"/>
        <v>0</v>
      </c>
      <c r="K394" s="42">
        <f t="shared" si="72"/>
        <v>0</v>
      </c>
      <c r="L394" s="42">
        <f t="shared" si="72"/>
        <v>0</v>
      </c>
      <c r="M394" s="42">
        <f t="shared" si="72"/>
        <v>0</v>
      </c>
      <c r="N394" s="42">
        <f t="shared" si="72"/>
        <v>0</v>
      </c>
    </row>
    <row r="395" spans="1:14">
      <c r="A395" s="58" t="s">
        <v>573</v>
      </c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>
        <f>SUM(B395:M395)</f>
        <v>0</v>
      </c>
    </row>
    <row r="396" spans="1:14">
      <c r="A396" s="58" t="s">
        <v>574</v>
      </c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>
        <f>SUM(B396:M396)</f>
        <v>0</v>
      </c>
    </row>
    <row r="397" spans="1:14">
      <c r="A397" s="58" t="s">
        <v>575</v>
      </c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>
        <f>SUM(B397:M397)</f>
        <v>0</v>
      </c>
    </row>
    <row r="398" spans="1:14">
      <c r="A398" s="57" t="s">
        <v>576</v>
      </c>
      <c r="B398" s="42">
        <f t="shared" ref="B398:N398" si="73">SUM(B399:B401)</f>
        <v>0</v>
      </c>
      <c r="C398" s="42">
        <f t="shared" si="73"/>
        <v>0</v>
      </c>
      <c r="D398" s="42">
        <f t="shared" si="73"/>
        <v>0</v>
      </c>
      <c r="E398" s="42">
        <f t="shared" si="73"/>
        <v>0</v>
      </c>
      <c r="F398" s="42">
        <f t="shared" si="73"/>
        <v>0</v>
      </c>
      <c r="G398" s="42">
        <f t="shared" si="73"/>
        <v>0</v>
      </c>
      <c r="H398" s="42">
        <f t="shared" si="73"/>
        <v>0</v>
      </c>
      <c r="I398" s="42">
        <f t="shared" si="73"/>
        <v>0</v>
      </c>
      <c r="J398" s="42">
        <f t="shared" si="73"/>
        <v>0</v>
      </c>
      <c r="K398" s="42">
        <f t="shared" si="73"/>
        <v>0</v>
      </c>
      <c r="L398" s="42">
        <f t="shared" si="73"/>
        <v>0</v>
      </c>
      <c r="M398" s="42">
        <f t="shared" si="73"/>
        <v>0</v>
      </c>
      <c r="N398" s="42">
        <f t="shared" si="73"/>
        <v>0</v>
      </c>
    </row>
    <row r="399" spans="1:14">
      <c r="A399" s="58" t="s">
        <v>577</v>
      </c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>
        <f t="shared" ref="N399:N432" si="74">SUM(B399:M399)</f>
        <v>0</v>
      </c>
    </row>
    <row r="400" spans="1:14">
      <c r="A400" s="58" t="s">
        <v>578</v>
      </c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>
        <f t="shared" si="74"/>
        <v>0</v>
      </c>
    </row>
    <row r="401" spans="1:14">
      <c r="A401" s="58" t="s">
        <v>579</v>
      </c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>
        <f t="shared" si="74"/>
        <v>0</v>
      </c>
    </row>
    <row r="402" spans="1:14">
      <c r="A402" s="60" t="s">
        <v>511</v>
      </c>
      <c r="B402" s="45">
        <f>B403</f>
        <v>0</v>
      </c>
      <c r="C402" s="45">
        <f t="shared" ref="C402:M402" si="75">C403</f>
        <v>0</v>
      </c>
      <c r="D402" s="45">
        <f t="shared" si="75"/>
        <v>0</v>
      </c>
      <c r="E402" s="45">
        <f t="shared" si="75"/>
        <v>0</v>
      </c>
      <c r="F402" s="45">
        <f t="shared" si="75"/>
        <v>0</v>
      </c>
      <c r="G402" s="45">
        <f t="shared" si="75"/>
        <v>45000</v>
      </c>
      <c r="H402" s="45">
        <f t="shared" si="75"/>
        <v>0</v>
      </c>
      <c r="I402" s="45">
        <f t="shared" si="75"/>
        <v>0</v>
      </c>
      <c r="J402" s="45">
        <f t="shared" si="75"/>
        <v>0</v>
      </c>
      <c r="K402" s="45">
        <f t="shared" si="75"/>
        <v>65000</v>
      </c>
      <c r="L402" s="45">
        <f t="shared" si="75"/>
        <v>0</v>
      </c>
      <c r="M402" s="45">
        <f t="shared" si="75"/>
        <v>0</v>
      </c>
      <c r="N402" s="45">
        <f t="shared" si="74"/>
        <v>110000</v>
      </c>
    </row>
    <row r="403" spans="1:14">
      <c r="A403" s="61" t="s">
        <v>580</v>
      </c>
      <c r="B403" s="46">
        <f t="shared" ref="B403:M403" si="76">B404</f>
        <v>0</v>
      </c>
      <c r="C403" s="46">
        <f t="shared" si="76"/>
        <v>0</v>
      </c>
      <c r="D403" s="46">
        <f t="shared" si="76"/>
        <v>0</v>
      </c>
      <c r="E403" s="46">
        <f t="shared" si="76"/>
        <v>0</v>
      </c>
      <c r="F403" s="46">
        <f t="shared" si="76"/>
        <v>0</v>
      </c>
      <c r="G403" s="46">
        <f t="shared" si="76"/>
        <v>45000</v>
      </c>
      <c r="H403" s="46">
        <f t="shared" si="76"/>
        <v>0</v>
      </c>
      <c r="I403" s="46">
        <f t="shared" si="76"/>
        <v>0</v>
      </c>
      <c r="J403" s="46">
        <f t="shared" si="76"/>
        <v>0</v>
      </c>
      <c r="K403" s="46">
        <f t="shared" si="76"/>
        <v>65000</v>
      </c>
      <c r="L403" s="46">
        <f t="shared" si="76"/>
        <v>0</v>
      </c>
      <c r="M403" s="46">
        <f t="shared" si="76"/>
        <v>0</v>
      </c>
      <c r="N403" s="46">
        <f t="shared" si="74"/>
        <v>110000</v>
      </c>
    </row>
    <row r="404" spans="1:14">
      <c r="A404" s="59" t="s">
        <v>581</v>
      </c>
      <c r="B404" s="44">
        <f>B405+B410+B432</f>
        <v>0</v>
      </c>
      <c r="C404" s="44">
        <f t="shared" ref="C404:M404" si="77">C405+C410+C432</f>
        <v>0</v>
      </c>
      <c r="D404" s="44">
        <f t="shared" si="77"/>
        <v>0</v>
      </c>
      <c r="E404" s="44">
        <f t="shared" si="77"/>
        <v>0</v>
      </c>
      <c r="F404" s="44">
        <f t="shared" si="77"/>
        <v>0</v>
      </c>
      <c r="G404" s="44">
        <f t="shared" si="77"/>
        <v>45000</v>
      </c>
      <c r="H404" s="44">
        <f t="shared" si="77"/>
        <v>0</v>
      </c>
      <c r="I404" s="44">
        <f t="shared" si="77"/>
        <v>0</v>
      </c>
      <c r="J404" s="44">
        <f t="shared" si="77"/>
        <v>0</v>
      </c>
      <c r="K404" s="44">
        <f t="shared" si="77"/>
        <v>65000</v>
      </c>
      <c r="L404" s="44">
        <f t="shared" si="77"/>
        <v>0</v>
      </c>
      <c r="M404" s="44">
        <f t="shared" si="77"/>
        <v>0</v>
      </c>
      <c r="N404" s="44">
        <f t="shared" si="74"/>
        <v>110000</v>
      </c>
    </row>
    <row r="405" spans="1:14">
      <c r="A405" s="59" t="s">
        <v>512</v>
      </c>
      <c r="B405" s="44">
        <f t="shared" ref="B405:M405" si="78">B406+B407+B408+B409</f>
        <v>0</v>
      </c>
      <c r="C405" s="44">
        <f t="shared" si="78"/>
        <v>0</v>
      </c>
      <c r="D405" s="44">
        <f t="shared" si="78"/>
        <v>0</v>
      </c>
      <c r="E405" s="44">
        <f t="shared" si="78"/>
        <v>0</v>
      </c>
      <c r="F405" s="44">
        <f t="shared" si="78"/>
        <v>0</v>
      </c>
      <c r="G405" s="44">
        <f t="shared" si="78"/>
        <v>0</v>
      </c>
      <c r="H405" s="44">
        <f t="shared" si="78"/>
        <v>0</v>
      </c>
      <c r="I405" s="44">
        <f t="shared" si="78"/>
        <v>0</v>
      </c>
      <c r="J405" s="44">
        <f t="shared" si="78"/>
        <v>0</v>
      </c>
      <c r="K405" s="44">
        <f t="shared" si="78"/>
        <v>0</v>
      </c>
      <c r="L405" s="44">
        <f t="shared" si="78"/>
        <v>0</v>
      </c>
      <c r="M405" s="44">
        <f t="shared" si="78"/>
        <v>0</v>
      </c>
      <c r="N405" s="44">
        <f t="shared" si="74"/>
        <v>0</v>
      </c>
    </row>
    <row r="406" spans="1:14">
      <c r="A406" s="57" t="s">
        <v>513</v>
      </c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>
        <f t="shared" si="74"/>
        <v>0</v>
      </c>
    </row>
    <row r="407" spans="1:14">
      <c r="A407" s="57" t="s">
        <v>514</v>
      </c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>
        <f t="shared" si="74"/>
        <v>0</v>
      </c>
    </row>
    <row r="408" spans="1:14">
      <c r="A408" s="57" t="s">
        <v>515</v>
      </c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>
        <f t="shared" si="74"/>
        <v>0</v>
      </c>
    </row>
    <row r="409" spans="1:14">
      <c r="A409" s="57" t="s">
        <v>516</v>
      </c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>
        <f t="shared" si="74"/>
        <v>0</v>
      </c>
    </row>
    <row r="410" spans="1:14">
      <c r="A410" s="59" t="s">
        <v>517</v>
      </c>
      <c r="B410" s="44">
        <f>B411+B414+B416+B417+B421+B425+B426+B429+B430+B431</f>
        <v>0</v>
      </c>
      <c r="C410" s="44">
        <f t="shared" ref="C410:M410" si="79">C411+C414+C416+C417+C421+C425+C426+C429+C430+C431</f>
        <v>0</v>
      </c>
      <c r="D410" s="44">
        <f t="shared" si="79"/>
        <v>0</v>
      </c>
      <c r="E410" s="44">
        <f t="shared" si="79"/>
        <v>0</v>
      </c>
      <c r="F410" s="44">
        <f t="shared" si="79"/>
        <v>0</v>
      </c>
      <c r="G410" s="44">
        <f>G411+G414+G416+G417+G421+G425+G426+G429+G430+G431</f>
        <v>45000</v>
      </c>
      <c r="H410" s="44">
        <f t="shared" si="79"/>
        <v>0</v>
      </c>
      <c r="I410" s="44">
        <f t="shared" si="79"/>
        <v>0</v>
      </c>
      <c r="J410" s="44">
        <f t="shared" si="79"/>
        <v>0</v>
      </c>
      <c r="K410" s="44">
        <f t="shared" si="79"/>
        <v>65000</v>
      </c>
      <c r="L410" s="44">
        <f t="shared" si="79"/>
        <v>0</v>
      </c>
      <c r="M410" s="44">
        <f t="shared" si="79"/>
        <v>0</v>
      </c>
      <c r="N410" s="44">
        <f t="shared" si="74"/>
        <v>110000</v>
      </c>
    </row>
    <row r="411" spans="1:14">
      <c r="A411" s="57" t="s">
        <v>518</v>
      </c>
      <c r="B411" s="42">
        <f t="shared" ref="B411:M411" si="80">SUM(B412:B413)</f>
        <v>0</v>
      </c>
      <c r="C411" s="42">
        <f t="shared" si="80"/>
        <v>0</v>
      </c>
      <c r="D411" s="42">
        <f t="shared" si="80"/>
        <v>0</v>
      </c>
      <c r="E411" s="42">
        <f t="shared" si="80"/>
        <v>0</v>
      </c>
      <c r="F411" s="42">
        <f t="shared" si="80"/>
        <v>0</v>
      </c>
      <c r="G411" s="42">
        <f t="shared" si="80"/>
        <v>0</v>
      </c>
      <c r="H411" s="42">
        <f t="shared" si="80"/>
        <v>0</v>
      </c>
      <c r="I411" s="42">
        <f t="shared" si="80"/>
        <v>0</v>
      </c>
      <c r="J411" s="42">
        <f t="shared" si="80"/>
        <v>0</v>
      </c>
      <c r="K411" s="42">
        <f t="shared" si="80"/>
        <v>0</v>
      </c>
      <c r="L411" s="42">
        <f t="shared" si="80"/>
        <v>0</v>
      </c>
      <c r="M411" s="42">
        <f t="shared" si="80"/>
        <v>0</v>
      </c>
      <c r="N411" s="42">
        <f t="shared" si="74"/>
        <v>0</v>
      </c>
    </row>
    <row r="412" spans="1:14">
      <c r="A412" s="62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8">
        <f t="shared" si="74"/>
        <v>0</v>
      </c>
    </row>
    <row r="413" spans="1:14">
      <c r="A413" s="62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8">
        <f t="shared" si="74"/>
        <v>0</v>
      </c>
    </row>
    <row r="414" spans="1:14">
      <c r="A414" s="57" t="s">
        <v>582</v>
      </c>
      <c r="B414" s="42">
        <f t="shared" ref="B414:M414" si="81">B415</f>
        <v>0</v>
      </c>
      <c r="C414" s="42">
        <f t="shared" si="81"/>
        <v>0</v>
      </c>
      <c r="D414" s="42">
        <f t="shared" si="81"/>
        <v>0</v>
      </c>
      <c r="E414" s="42">
        <f t="shared" si="81"/>
        <v>0</v>
      </c>
      <c r="F414" s="42">
        <f t="shared" si="81"/>
        <v>0</v>
      </c>
      <c r="G414" s="42">
        <f t="shared" si="81"/>
        <v>0</v>
      </c>
      <c r="H414" s="42">
        <f t="shared" si="81"/>
        <v>0</v>
      </c>
      <c r="I414" s="42">
        <f t="shared" si="81"/>
        <v>0</v>
      </c>
      <c r="J414" s="42">
        <f t="shared" si="81"/>
        <v>0</v>
      </c>
      <c r="K414" s="42">
        <f t="shared" si="81"/>
        <v>0</v>
      </c>
      <c r="L414" s="42">
        <f t="shared" si="81"/>
        <v>0</v>
      </c>
      <c r="M414" s="42">
        <f t="shared" si="81"/>
        <v>0</v>
      </c>
      <c r="N414" s="42">
        <f t="shared" si="74"/>
        <v>0</v>
      </c>
    </row>
    <row r="415" spans="1:14">
      <c r="A415" s="62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8">
        <f t="shared" si="74"/>
        <v>0</v>
      </c>
    </row>
    <row r="416" spans="1:14">
      <c r="A416" s="57" t="s">
        <v>583</v>
      </c>
      <c r="B416" s="42">
        <v>0</v>
      </c>
      <c r="C416" s="42">
        <v>0</v>
      </c>
      <c r="D416" s="42">
        <v>0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v>0</v>
      </c>
      <c r="K416" s="42">
        <v>0</v>
      </c>
      <c r="L416" s="42">
        <v>0</v>
      </c>
      <c r="M416" s="42">
        <v>0</v>
      </c>
      <c r="N416" s="42">
        <f t="shared" si="74"/>
        <v>0</v>
      </c>
    </row>
    <row r="417" spans="1:14">
      <c r="A417" s="57" t="s">
        <v>535</v>
      </c>
      <c r="B417" s="42">
        <f t="shared" ref="B417:M417" si="82">SUM(B418:B420)</f>
        <v>0</v>
      </c>
      <c r="C417" s="42">
        <f t="shared" si="82"/>
        <v>0</v>
      </c>
      <c r="D417" s="42">
        <f t="shared" si="82"/>
        <v>0</v>
      </c>
      <c r="E417" s="42">
        <f t="shared" si="82"/>
        <v>0</v>
      </c>
      <c r="F417" s="42">
        <f t="shared" si="82"/>
        <v>0</v>
      </c>
      <c r="G417" s="42">
        <f t="shared" si="82"/>
        <v>0</v>
      </c>
      <c r="H417" s="42">
        <f t="shared" si="82"/>
        <v>0</v>
      </c>
      <c r="I417" s="42">
        <f t="shared" si="82"/>
        <v>0</v>
      </c>
      <c r="J417" s="42">
        <f t="shared" si="82"/>
        <v>0</v>
      </c>
      <c r="K417" s="42">
        <v>65000</v>
      </c>
      <c r="L417" s="42">
        <f t="shared" si="82"/>
        <v>0</v>
      </c>
      <c r="M417" s="42">
        <f t="shared" si="82"/>
        <v>0</v>
      </c>
      <c r="N417" s="42">
        <f t="shared" si="74"/>
        <v>65000</v>
      </c>
    </row>
    <row r="418" spans="1:14">
      <c r="A418" s="62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8">
        <f t="shared" si="74"/>
        <v>0</v>
      </c>
    </row>
    <row r="419" spans="1:14">
      <c r="A419" s="62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8">
        <f t="shared" si="74"/>
        <v>0</v>
      </c>
    </row>
    <row r="420" spans="1:14">
      <c r="A420" s="62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8">
        <f t="shared" si="74"/>
        <v>0</v>
      </c>
    </row>
    <row r="421" spans="1:14">
      <c r="A421" s="57" t="s">
        <v>584</v>
      </c>
      <c r="B421" s="42">
        <f t="shared" ref="B421:M421" si="83">SUM(B422:B424)</f>
        <v>0</v>
      </c>
      <c r="C421" s="42">
        <f t="shared" si="83"/>
        <v>0</v>
      </c>
      <c r="D421" s="42">
        <f t="shared" si="83"/>
        <v>0</v>
      </c>
      <c r="E421" s="42">
        <f t="shared" si="83"/>
        <v>0</v>
      </c>
      <c r="F421" s="42">
        <f t="shared" si="83"/>
        <v>0</v>
      </c>
      <c r="G421" s="42">
        <f>45000</f>
        <v>45000</v>
      </c>
      <c r="H421" s="42">
        <f t="shared" si="83"/>
        <v>0</v>
      </c>
      <c r="I421" s="42">
        <f t="shared" si="83"/>
        <v>0</v>
      </c>
      <c r="J421" s="42">
        <f t="shared" si="83"/>
        <v>0</v>
      </c>
      <c r="K421" s="42">
        <f t="shared" si="83"/>
        <v>0</v>
      </c>
      <c r="L421" s="42">
        <f t="shared" si="83"/>
        <v>0</v>
      </c>
      <c r="M421" s="42">
        <f t="shared" si="83"/>
        <v>0</v>
      </c>
      <c r="N421" s="42">
        <f t="shared" si="74"/>
        <v>45000</v>
      </c>
    </row>
    <row r="422" spans="1:14">
      <c r="A422" s="62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8">
        <f t="shared" si="74"/>
        <v>0</v>
      </c>
    </row>
    <row r="423" spans="1:14">
      <c r="A423" s="62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8">
        <f t="shared" si="74"/>
        <v>0</v>
      </c>
    </row>
    <row r="424" spans="1:14">
      <c r="A424" s="62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8">
        <f t="shared" si="74"/>
        <v>0</v>
      </c>
    </row>
    <row r="425" spans="1:14">
      <c r="A425" s="57" t="s">
        <v>585</v>
      </c>
      <c r="B425" s="42">
        <v>0</v>
      </c>
      <c r="C425" s="42">
        <v>0</v>
      </c>
      <c r="D425" s="42">
        <v>0</v>
      </c>
      <c r="E425" s="42">
        <v>0</v>
      </c>
      <c r="F425" s="42">
        <v>0</v>
      </c>
      <c r="G425" s="42">
        <v>0</v>
      </c>
      <c r="H425" s="42">
        <v>0</v>
      </c>
      <c r="I425" s="42">
        <v>0</v>
      </c>
      <c r="J425" s="42">
        <v>0</v>
      </c>
      <c r="K425" s="42">
        <v>0</v>
      </c>
      <c r="L425" s="42">
        <v>0</v>
      </c>
      <c r="M425" s="42">
        <v>0</v>
      </c>
      <c r="N425" s="42">
        <f t="shared" si="74"/>
        <v>0</v>
      </c>
    </row>
    <row r="426" spans="1:14">
      <c r="A426" s="57" t="s">
        <v>586</v>
      </c>
      <c r="B426" s="42">
        <f t="shared" ref="B426:M426" si="84">SUM(B427:B428)</f>
        <v>0</v>
      </c>
      <c r="C426" s="42">
        <f t="shared" si="84"/>
        <v>0</v>
      </c>
      <c r="D426" s="42">
        <f t="shared" si="84"/>
        <v>0</v>
      </c>
      <c r="E426" s="42">
        <f t="shared" si="84"/>
        <v>0</v>
      </c>
      <c r="F426" s="42">
        <f t="shared" si="84"/>
        <v>0</v>
      </c>
      <c r="G426" s="42">
        <f t="shared" si="84"/>
        <v>0</v>
      </c>
      <c r="H426" s="42">
        <f t="shared" si="84"/>
        <v>0</v>
      </c>
      <c r="I426" s="42">
        <f t="shared" si="84"/>
        <v>0</v>
      </c>
      <c r="J426" s="42">
        <f t="shared" si="84"/>
        <v>0</v>
      </c>
      <c r="K426" s="42">
        <f t="shared" si="84"/>
        <v>0</v>
      </c>
      <c r="L426" s="42">
        <f t="shared" si="84"/>
        <v>0</v>
      </c>
      <c r="M426" s="42">
        <f t="shared" si="84"/>
        <v>0</v>
      </c>
      <c r="N426" s="42">
        <f t="shared" si="74"/>
        <v>0</v>
      </c>
    </row>
    <row r="427" spans="1:14">
      <c r="A427" s="62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8">
        <f t="shared" si="74"/>
        <v>0</v>
      </c>
    </row>
    <row r="428" spans="1:14">
      <c r="A428" s="62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8">
        <f t="shared" si="74"/>
        <v>0</v>
      </c>
    </row>
    <row r="429" spans="1:14">
      <c r="A429" s="57" t="s">
        <v>587</v>
      </c>
      <c r="B429" s="42">
        <v>0</v>
      </c>
      <c r="C429" s="42">
        <v>0</v>
      </c>
      <c r="D429" s="42">
        <v>0</v>
      </c>
      <c r="E429" s="42">
        <v>0</v>
      </c>
      <c r="F429" s="42">
        <v>0</v>
      </c>
      <c r="G429" s="42">
        <v>0</v>
      </c>
      <c r="H429" s="42">
        <v>0</v>
      </c>
      <c r="I429" s="42">
        <v>0</v>
      </c>
      <c r="J429" s="42">
        <v>0</v>
      </c>
      <c r="K429" s="42">
        <v>0</v>
      </c>
      <c r="L429" s="42">
        <v>0</v>
      </c>
      <c r="M429" s="42">
        <v>0</v>
      </c>
      <c r="N429" s="42">
        <f t="shared" si="74"/>
        <v>0</v>
      </c>
    </row>
    <row r="430" spans="1:14">
      <c r="A430" s="57" t="s">
        <v>588</v>
      </c>
      <c r="B430" s="42">
        <v>0</v>
      </c>
      <c r="C430" s="42">
        <v>0</v>
      </c>
      <c r="D430" s="42">
        <v>0</v>
      </c>
      <c r="E430" s="42">
        <v>0</v>
      </c>
      <c r="F430" s="42">
        <v>0</v>
      </c>
      <c r="G430" s="42">
        <v>0</v>
      </c>
      <c r="H430" s="42">
        <v>0</v>
      </c>
      <c r="I430" s="42">
        <v>0</v>
      </c>
      <c r="J430" s="42">
        <v>0</v>
      </c>
      <c r="K430" s="42">
        <v>0</v>
      </c>
      <c r="L430" s="42">
        <v>0</v>
      </c>
      <c r="M430" s="42">
        <v>0</v>
      </c>
      <c r="N430" s="42">
        <f t="shared" si="74"/>
        <v>0</v>
      </c>
    </row>
    <row r="431" spans="1:14">
      <c r="A431" s="57" t="s">
        <v>589</v>
      </c>
      <c r="B431" s="42">
        <v>0</v>
      </c>
      <c r="C431" s="42">
        <v>0</v>
      </c>
      <c r="D431" s="42">
        <v>0</v>
      </c>
      <c r="E431" s="42">
        <v>0</v>
      </c>
      <c r="F431" s="42">
        <v>0</v>
      </c>
      <c r="G431" s="42">
        <v>0</v>
      </c>
      <c r="H431" s="42">
        <v>0</v>
      </c>
      <c r="I431" s="42">
        <v>0</v>
      </c>
      <c r="J431" s="42">
        <v>0</v>
      </c>
      <c r="K431" s="42">
        <v>0</v>
      </c>
      <c r="L431" s="42">
        <v>0</v>
      </c>
      <c r="M431" s="42">
        <v>0</v>
      </c>
      <c r="N431" s="42">
        <f t="shared" si="74"/>
        <v>0</v>
      </c>
    </row>
    <row r="432" spans="1:14">
      <c r="A432" s="57" t="s">
        <v>590</v>
      </c>
      <c r="B432" s="42">
        <v>0</v>
      </c>
      <c r="C432" s="42">
        <v>0</v>
      </c>
      <c r="D432" s="42">
        <v>0</v>
      </c>
      <c r="E432" s="42">
        <v>0</v>
      </c>
      <c r="F432" s="42">
        <v>0</v>
      </c>
      <c r="G432" s="42">
        <v>0</v>
      </c>
      <c r="H432" s="42">
        <v>0</v>
      </c>
      <c r="I432" s="42">
        <v>0</v>
      </c>
      <c r="J432" s="42">
        <v>0</v>
      </c>
      <c r="K432" s="42">
        <v>0</v>
      </c>
      <c r="L432" s="42">
        <v>0</v>
      </c>
      <c r="M432" s="42">
        <v>0</v>
      </c>
      <c r="N432" s="42">
        <f t="shared" si="74"/>
        <v>0</v>
      </c>
    </row>
    <row r="433" spans="1:20" ht="15.75" thickBot="1"/>
    <row r="434" spans="1:20" ht="27.75" thickTop="1" thickBot="1">
      <c r="A434" s="489" t="s">
        <v>316</v>
      </c>
    </row>
    <row r="435" spans="1:20" ht="27.75" thickTop="1" thickBot="1">
      <c r="A435" s="490" t="s">
        <v>607</v>
      </c>
    </row>
    <row r="436" spans="1:20" s="16" customFormat="1" ht="27" thickTop="1">
      <c r="A436" s="492"/>
      <c r="B436" s="11"/>
      <c r="C436" s="7"/>
      <c r="D436" s="13"/>
      <c r="E436" s="4"/>
      <c r="F436" s="4"/>
      <c r="G436" s="4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 ht="52.5">
      <c r="A437" s="69" t="s">
        <v>53</v>
      </c>
      <c r="B437" s="56" t="s">
        <v>0</v>
      </c>
      <c r="C437" s="56" t="s">
        <v>1</v>
      </c>
      <c r="D437" s="56" t="s">
        <v>2</v>
      </c>
      <c r="E437" s="56" t="s">
        <v>3</v>
      </c>
      <c r="F437" s="56" t="s">
        <v>4</v>
      </c>
      <c r="G437" s="56" t="s">
        <v>5</v>
      </c>
      <c r="H437" s="56" t="s">
        <v>6</v>
      </c>
      <c r="I437" s="56" t="s">
        <v>7</v>
      </c>
      <c r="J437" s="56" t="s">
        <v>8</v>
      </c>
      <c r="K437" s="56" t="s">
        <v>9</v>
      </c>
      <c r="L437" s="56" t="s">
        <v>10</v>
      </c>
      <c r="M437" s="56" t="s">
        <v>11</v>
      </c>
      <c r="N437" s="56" t="s">
        <v>12</v>
      </c>
    </row>
    <row r="438" spans="1:20">
      <c r="A438" s="64" t="s">
        <v>592</v>
      </c>
      <c r="B438" s="236">
        <v>0</v>
      </c>
      <c r="C438" s="236">
        <v>0</v>
      </c>
      <c r="D438" s="236">
        <v>0</v>
      </c>
      <c r="E438" s="236">
        <v>0</v>
      </c>
      <c r="F438" s="237">
        <v>0</v>
      </c>
      <c r="G438" s="236">
        <v>0</v>
      </c>
      <c r="H438" s="236">
        <f>0</f>
        <v>0</v>
      </c>
      <c r="I438" s="236">
        <v>0</v>
      </c>
      <c r="J438" s="236">
        <v>0</v>
      </c>
      <c r="K438" s="236">
        <v>0</v>
      </c>
      <c r="L438" s="236">
        <v>1402000</v>
      </c>
      <c r="M438" s="236">
        <f>'[1]Anexo2 - detalhado IN'!Q435</f>
        <v>0</v>
      </c>
      <c r="N438" s="236">
        <f>SUM(B438:M438)</f>
        <v>1402000</v>
      </c>
    </row>
    <row r="439" spans="1:20" ht="30">
      <c r="A439" s="238" t="s">
        <v>509</v>
      </c>
      <c r="B439" s="236">
        <f>SUM(B440:B447)</f>
        <v>37983.5</v>
      </c>
      <c r="C439" s="236">
        <f t="shared" ref="C439:N439" si="85">SUM(C440:C447)</f>
        <v>0</v>
      </c>
      <c r="D439" s="236">
        <v>335509</v>
      </c>
      <c r="E439" s="237">
        <f>SUM(E440:E447)</f>
        <v>505231.5</v>
      </c>
      <c r="F439" s="237">
        <f>SUM(F440:F447)</f>
        <v>0</v>
      </c>
      <c r="G439" s="236">
        <v>861735.5</v>
      </c>
      <c r="H439" s="236">
        <v>436530</v>
      </c>
      <c r="I439" s="236">
        <v>896507</v>
      </c>
      <c r="J439" s="236">
        <v>37983.5</v>
      </c>
      <c r="K439" s="236">
        <v>15212</v>
      </c>
      <c r="L439" s="236">
        <v>37983.5</v>
      </c>
      <c r="M439" s="236">
        <f t="shared" si="85"/>
        <v>0</v>
      </c>
      <c r="N439" s="236">
        <f t="shared" si="85"/>
        <v>3164675.5</v>
      </c>
    </row>
    <row r="440" spans="1:20">
      <c r="A440" s="64" t="s">
        <v>593</v>
      </c>
      <c r="B440" s="239">
        <v>0</v>
      </c>
      <c r="C440" s="239">
        <v>0</v>
      </c>
      <c r="D440" s="239">
        <f>'Anexo da Tabela da ASCE'!K11</f>
        <v>335509</v>
      </c>
      <c r="E440" s="239">
        <v>0</v>
      </c>
      <c r="F440" s="239">
        <v>0</v>
      </c>
      <c r="G440" s="239">
        <v>0</v>
      </c>
      <c r="H440" s="239">
        <v>0</v>
      </c>
      <c r="I440" s="239">
        <v>0</v>
      </c>
      <c r="J440" s="239">
        <v>0</v>
      </c>
      <c r="K440" s="239">
        <v>0</v>
      </c>
      <c r="L440" s="239">
        <v>0</v>
      </c>
      <c r="M440" s="239">
        <v>0</v>
      </c>
      <c r="N440" s="240">
        <f t="shared" ref="N440:N447" si="86">B440+C440+D440+E440+F440+G440+H440+I440+J440+K440+L440+M440</f>
        <v>335509</v>
      </c>
    </row>
    <row r="441" spans="1:20">
      <c r="A441" s="64" t="s">
        <v>594</v>
      </c>
      <c r="B441" s="239">
        <v>0</v>
      </c>
      <c r="C441" s="239">
        <v>0</v>
      </c>
      <c r="D441" s="239">
        <v>0</v>
      </c>
      <c r="E441" s="239">
        <v>0</v>
      </c>
      <c r="F441" s="239">
        <v>0</v>
      </c>
      <c r="G441" s="239">
        <f>'Anexo da Tabela da ASCE'!K375</f>
        <v>15212</v>
      </c>
      <c r="H441" s="239">
        <v>0</v>
      </c>
      <c r="I441" s="239">
        <v>0</v>
      </c>
      <c r="J441" s="239">
        <v>0</v>
      </c>
      <c r="K441" s="239">
        <f>'Anexo da Tabela da ASCE'!K394</f>
        <v>15212</v>
      </c>
      <c r="L441" s="239">
        <v>0</v>
      </c>
      <c r="M441" s="239">
        <v>0</v>
      </c>
      <c r="N441" s="240">
        <f t="shared" si="86"/>
        <v>30424</v>
      </c>
    </row>
    <row r="442" spans="1:20">
      <c r="A442" s="64" t="s">
        <v>595</v>
      </c>
      <c r="B442" s="239">
        <v>0</v>
      </c>
      <c r="C442" s="239">
        <v>0</v>
      </c>
      <c r="D442" s="239">
        <v>0</v>
      </c>
      <c r="E442" s="239"/>
      <c r="F442" s="239">
        <v>0</v>
      </c>
      <c r="G442" s="239">
        <f>'Anexo da Tabela da ASCE'!K68</f>
        <v>846523.5</v>
      </c>
      <c r="H442" s="239">
        <v>0</v>
      </c>
      <c r="I442" s="239">
        <v>0</v>
      </c>
      <c r="J442" s="239">
        <v>0</v>
      </c>
      <c r="K442" s="239">
        <v>0</v>
      </c>
      <c r="L442" s="239">
        <v>0</v>
      </c>
      <c r="M442" s="239">
        <v>0</v>
      </c>
      <c r="N442" s="240">
        <f t="shared" si="86"/>
        <v>846523.5</v>
      </c>
    </row>
    <row r="443" spans="1:20">
      <c r="A443" s="64" t="s">
        <v>596</v>
      </c>
      <c r="B443" s="239">
        <v>0</v>
      </c>
      <c r="C443" s="239">
        <v>0</v>
      </c>
      <c r="D443" s="239">
        <v>0</v>
      </c>
      <c r="E443" s="239"/>
      <c r="F443" s="239">
        <v>0</v>
      </c>
      <c r="G443" s="239">
        <v>0</v>
      </c>
      <c r="H443" s="239">
        <v>0</v>
      </c>
      <c r="I443" s="239">
        <f>'Anexo da Tabela da ASCE'!K160</f>
        <v>896507</v>
      </c>
      <c r="J443" s="239">
        <v>0</v>
      </c>
      <c r="K443" s="239">
        <v>0</v>
      </c>
      <c r="L443" s="239">
        <v>0</v>
      </c>
      <c r="M443" s="239">
        <v>0</v>
      </c>
      <c r="N443" s="240">
        <f t="shared" si="86"/>
        <v>896507</v>
      </c>
    </row>
    <row r="444" spans="1:20">
      <c r="A444" s="64" t="s">
        <v>597</v>
      </c>
      <c r="B444" s="239">
        <f>'Anexo da Tabela da ASCE'!K414</f>
        <v>37983.5</v>
      </c>
      <c r="C444" s="239">
        <v>0</v>
      </c>
      <c r="D444" s="239">
        <v>0</v>
      </c>
      <c r="E444" s="239">
        <v>0</v>
      </c>
      <c r="F444" s="239">
        <v>0</v>
      </c>
      <c r="G444" s="239">
        <v>0</v>
      </c>
      <c r="H444" s="239">
        <f>'Anexo da Tabela da ASCE'!K480</f>
        <v>37983.5</v>
      </c>
      <c r="I444" s="239">
        <v>0</v>
      </c>
      <c r="J444" s="239">
        <f>'Anexo da Tabela da ASCE'!K458</f>
        <v>37983.5</v>
      </c>
      <c r="K444" s="239">
        <v>0</v>
      </c>
      <c r="L444" s="239">
        <f>'Anexo da Tabela da ASCE'!K480</f>
        <v>37983.5</v>
      </c>
      <c r="M444" s="239">
        <v>0</v>
      </c>
      <c r="N444" s="240">
        <f t="shared" si="86"/>
        <v>151934</v>
      </c>
    </row>
    <row r="445" spans="1:20">
      <c r="A445" s="64" t="s">
        <v>598</v>
      </c>
      <c r="B445" s="239">
        <v>0</v>
      </c>
      <c r="C445" s="239">
        <v>0</v>
      </c>
      <c r="D445" s="239">
        <v>0</v>
      </c>
      <c r="E445" s="239">
        <f>'Anexo da Tabela da ASCE'!K270</f>
        <v>405231.5</v>
      </c>
      <c r="F445" s="239">
        <v>0</v>
      </c>
      <c r="G445" s="239">
        <v>0</v>
      </c>
      <c r="H445" s="239">
        <v>0</v>
      </c>
      <c r="I445" s="239">
        <v>0</v>
      </c>
      <c r="J445" s="239">
        <v>0</v>
      </c>
      <c r="K445" s="239">
        <v>0</v>
      </c>
      <c r="L445" s="239">
        <v>0</v>
      </c>
      <c r="M445" s="239">
        <v>0</v>
      </c>
      <c r="N445" s="240">
        <f t="shared" si="86"/>
        <v>405231.5</v>
      </c>
    </row>
    <row r="446" spans="1:20">
      <c r="A446" s="64" t="s">
        <v>599</v>
      </c>
      <c r="B446" s="239">
        <v>0</v>
      </c>
      <c r="C446" s="239">
        <v>0</v>
      </c>
      <c r="D446" s="239">
        <v>0</v>
      </c>
      <c r="E446" s="239">
        <f>'Anexo da Tabela da ASCE'!K502</f>
        <v>100000</v>
      </c>
      <c r="F446" s="239">
        <v>0</v>
      </c>
      <c r="G446" s="239">
        <v>0</v>
      </c>
      <c r="H446" s="239">
        <v>0</v>
      </c>
      <c r="I446" s="239">
        <v>0</v>
      </c>
      <c r="J446" s="239">
        <v>0</v>
      </c>
      <c r="K446" s="239">
        <v>0</v>
      </c>
      <c r="L446" s="239">
        <v>0</v>
      </c>
      <c r="M446" s="239">
        <v>0</v>
      </c>
      <c r="N446" s="240">
        <f t="shared" si="86"/>
        <v>100000</v>
      </c>
    </row>
    <row r="447" spans="1:20">
      <c r="A447" s="64" t="s">
        <v>600</v>
      </c>
      <c r="B447" s="239">
        <v>0</v>
      </c>
      <c r="C447" s="239">
        <v>0</v>
      </c>
      <c r="D447" s="239">
        <v>0</v>
      </c>
      <c r="E447" s="239">
        <v>0</v>
      </c>
      <c r="F447" s="239">
        <v>0</v>
      </c>
      <c r="G447" s="239">
        <v>0</v>
      </c>
      <c r="H447" s="239">
        <f>'Anexo da Tabela da ASCE'!K322</f>
        <v>398546.5</v>
      </c>
      <c r="I447" s="239">
        <v>0</v>
      </c>
      <c r="J447" s="239">
        <v>0</v>
      </c>
      <c r="K447" s="239">
        <v>0</v>
      </c>
      <c r="L447" s="239">
        <v>0</v>
      </c>
      <c r="M447" s="239">
        <v>0</v>
      </c>
      <c r="N447" s="240">
        <f t="shared" si="86"/>
        <v>398546.5</v>
      </c>
    </row>
    <row r="448" spans="1:20">
      <c r="A448" s="238" t="s">
        <v>601</v>
      </c>
      <c r="B448" s="236">
        <f>SUM(B449:B450)</f>
        <v>0</v>
      </c>
      <c r="C448" s="236">
        <f t="shared" ref="C448:M448" si="87">SUM(C449:C450)</f>
        <v>0</v>
      </c>
      <c r="D448" s="236">
        <f>SUM(D449:D450)</f>
        <v>16155</v>
      </c>
      <c r="E448" s="236">
        <f>SUM(E449:E450)</f>
        <v>16155</v>
      </c>
      <c r="F448" s="236">
        <f t="shared" si="87"/>
        <v>0</v>
      </c>
      <c r="G448" s="236">
        <f t="shared" si="87"/>
        <v>0</v>
      </c>
      <c r="H448" s="236">
        <f t="shared" si="87"/>
        <v>16155</v>
      </c>
      <c r="I448" s="236">
        <f t="shared" si="87"/>
        <v>16155</v>
      </c>
      <c r="J448" s="236">
        <f t="shared" si="87"/>
        <v>8000</v>
      </c>
      <c r="K448" s="236">
        <f t="shared" si="87"/>
        <v>0</v>
      </c>
      <c r="L448" s="236">
        <f t="shared" si="87"/>
        <v>0</v>
      </c>
      <c r="M448" s="236">
        <f t="shared" si="87"/>
        <v>0</v>
      </c>
      <c r="N448" s="236">
        <f>SUM(N449:N450)</f>
        <v>72620</v>
      </c>
    </row>
    <row r="449" spans="1:22">
      <c r="A449" s="64" t="s">
        <v>602</v>
      </c>
      <c r="B449" s="241">
        <v>0</v>
      </c>
      <c r="C449" s="241">
        <v>0</v>
      </c>
      <c r="D449" s="241">
        <v>16155</v>
      </c>
      <c r="E449" s="241">
        <v>16155</v>
      </c>
      <c r="F449" s="241">
        <v>0</v>
      </c>
      <c r="G449" s="241">
        <v>0</v>
      </c>
      <c r="H449" s="241">
        <v>16155</v>
      </c>
      <c r="I449" s="241">
        <v>16155</v>
      </c>
      <c r="J449" s="241">
        <v>0</v>
      </c>
      <c r="K449" s="241">
        <v>0</v>
      </c>
      <c r="L449" s="241">
        <v>0</v>
      </c>
      <c r="M449" s="241">
        <v>0</v>
      </c>
      <c r="N449" s="240">
        <f>B449+C449+D449+E449+F449+G449+H449+I449+J449+K449+L449+M449</f>
        <v>64620</v>
      </c>
    </row>
    <row r="450" spans="1:22">
      <c r="A450" s="64" t="s">
        <v>603</v>
      </c>
      <c r="B450" s="241">
        <v>0</v>
      </c>
      <c r="C450" s="241">
        <v>0</v>
      </c>
      <c r="D450" s="241">
        <v>0</v>
      </c>
      <c r="E450" s="241">
        <v>0</v>
      </c>
      <c r="F450" s="241">
        <v>0</v>
      </c>
      <c r="G450" s="241">
        <v>0</v>
      </c>
      <c r="H450" s="241">
        <v>0</v>
      </c>
      <c r="I450" s="241">
        <v>0</v>
      </c>
      <c r="J450" s="241">
        <f>'Anexo da Tabela da ASCE'!K521</f>
        <v>8000</v>
      </c>
      <c r="K450" s="241">
        <v>0</v>
      </c>
      <c r="L450" s="241">
        <v>0</v>
      </c>
      <c r="M450" s="241">
        <v>0</v>
      </c>
      <c r="N450" s="240">
        <f>B450+C450+D450+E450+F450+G450+H450+I450+J450+K450+L450+M450</f>
        <v>8000</v>
      </c>
    </row>
    <row r="451" spans="1:22">
      <c r="A451" s="238"/>
      <c r="B451" s="487"/>
      <c r="C451" s="487"/>
      <c r="D451" s="487"/>
      <c r="E451" s="487"/>
      <c r="F451" s="487"/>
      <c r="G451" s="487"/>
      <c r="H451" s="487"/>
      <c r="I451" s="487"/>
      <c r="J451" s="487"/>
      <c r="K451" s="487"/>
      <c r="L451" s="487"/>
      <c r="M451" s="487"/>
      <c r="N451" s="487"/>
    </row>
    <row r="452" spans="1:22">
      <c r="A452" s="238" t="s">
        <v>604</v>
      </c>
      <c r="B452" s="236">
        <f>SUM(B453:B454)</f>
        <v>15000</v>
      </c>
      <c r="C452" s="236">
        <f>SUM(C453:C454)</f>
        <v>15000</v>
      </c>
      <c r="D452" s="236">
        <f t="shared" ref="D452:L452" si="88">SUM(D453:D454)</f>
        <v>26000</v>
      </c>
      <c r="E452" s="236">
        <f>SUM(E453:E454)</f>
        <v>26000</v>
      </c>
      <c r="F452" s="236">
        <f t="shared" si="88"/>
        <v>26000</v>
      </c>
      <c r="G452" s="236">
        <f t="shared" si="88"/>
        <v>26000</v>
      </c>
      <c r="H452" s="236">
        <f t="shared" si="88"/>
        <v>26000</v>
      </c>
      <c r="I452" s="236">
        <f t="shared" si="88"/>
        <v>26000</v>
      </c>
      <c r="J452" s="236">
        <f t="shared" si="88"/>
        <v>26000</v>
      </c>
      <c r="K452" s="236">
        <f t="shared" si="88"/>
        <v>26000</v>
      </c>
      <c r="L452" s="236">
        <f t="shared" si="88"/>
        <v>26000</v>
      </c>
      <c r="M452" s="236">
        <f>SUM(M453:M454)</f>
        <v>26000</v>
      </c>
      <c r="N452" s="240">
        <f>B452+C452+D452+E452+F452+G452+H452+I452+J452+K452+L452+M452</f>
        <v>290000</v>
      </c>
    </row>
    <row r="453" spans="1:22">
      <c r="A453" s="242" t="s">
        <v>605</v>
      </c>
      <c r="B453" s="243">
        <v>15000</v>
      </c>
      <c r="C453" s="243">
        <v>15000</v>
      </c>
      <c r="D453" s="243">
        <v>0</v>
      </c>
      <c r="E453" s="243">
        <v>0</v>
      </c>
      <c r="F453" s="243">
        <v>0</v>
      </c>
      <c r="G453" s="243">
        <v>0</v>
      </c>
      <c r="H453" s="243">
        <v>0</v>
      </c>
      <c r="I453" s="243">
        <v>0</v>
      </c>
      <c r="J453" s="243">
        <v>0</v>
      </c>
      <c r="K453" s="243">
        <v>0</v>
      </c>
      <c r="L453" s="243">
        <v>0</v>
      </c>
      <c r="M453" s="243">
        <v>0</v>
      </c>
      <c r="N453" s="243">
        <f>SUM(B453:M453)</f>
        <v>30000</v>
      </c>
    </row>
    <row r="454" spans="1:22">
      <c r="A454" s="242" t="s">
        <v>606</v>
      </c>
      <c r="B454" s="243">
        <v>0</v>
      </c>
      <c r="C454" s="243">
        <v>0</v>
      </c>
      <c r="D454" s="243">
        <v>26000</v>
      </c>
      <c r="E454" s="243">
        <v>26000</v>
      </c>
      <c r="F454" s="243">
        <v>26000</v>
      </c>
      <c r="G454" s="243">
        <v>26000</v>
      </c>
      <c r="H454" s="243">
        <v>26000</v>
      </c>
      <c r="I454" s="243">
        <v>26000</v>
      </c>
      <c r="J454" s="243">
        <v>26000</v>
      </c>
      <c r="K454" s="243">
        <v>26000</v>
      </c>
      <c r="L454" s="243">
        <v>26000</v>
      </c>
      <c r="M454" s="243">
        <v>26000</v>
      </c>
      <c r="N454" s="243">
        <f>SUM(B454:M454)</f>
        <v>260000</v>
      </c>
    </row>
    <row r="455" spans="1:22" ht="15.75" thickBot="1"/>
    <row r="456" spans="1:22" ht="27.75" thickTop="1" thickBot="1">
      <c r="A456" s="489" t="s">
        <v>316</v>
      </c>
    </row>
    <row r="457" spans="1:22" ht="27.75" thickTop="1" thickBot="1">
      <c r="A457" s="490" t="s">
        <v>1060</v>
      </c>
    </row>
    <row r="458" spans="1:22" ht="15.75" thickTop="1"/>
    <row r="459" spans="1:22" ht="52.5">
      <c r="A459" s="91" t="s">
        <v>53</v>
      </c>
      <c r="B459" s="51" t="s">
        <v>47</v>
      </c>
      <c r="C459" s="51" t="s">
        <v>319</v>
      </c>
      <c r="D459" s="51" t="s">
        <v>320</v>
      </c>
      <c r="E459" s="51" t="s">
        <v>321</v>
      </c>
      <c r="F459" s="51" t="s">
        <v>322</v>
      </c>
      <c r="G459" s="51" t="s">
        <v>323</v>
      </c>
      <c r="H459" s="51" t="s">
        <v>324</v>
      </c>
      <c r="I459" s="51" t="s">
        <v>325</v>
      </c>
      <c r="J459" s="51" t="s">
        <v>0</v>
      </c>
      <c r="K459" s="51" t="s">
        <v>1</v>
      </c>
      <c r="L459" s="51" t="s">
        <v>2</v>
      </c>
      <c r="M459" s="51" t="s">
        <v>3</v>
      </c>
      <c r="N459" s="51" t="s">
        <v>4</v>
      </c>
      <c r="O459" s="51" t="s">
        <v>5</v>
      </c>
      <c r="P459" s="51" t="s">
        <v>6</v>
      </c>
      <c r="Q459" s="51" t="s">
        <v>7</v>
      </c>
      <c r="R459" s="51" t="s">
        <v>8</v>
      </c>
      <c r="S459" s="51" t="s">
        <v>9</v>
      </c>
      <c r="T459" s="51" t="s">
        <v>10</v>
      </c>
      <c r="U459" s="51" t="s">
        <v>11</v>
      </c>
      <c r="V459" s="51" t="s">
        <v>12</v>
      </c>
    </row>
    <row r="460" spans="1:22">
      <c r="A460" s="244" t="s">
        <v>933</v>
      </c>
      <c r="B460" s="245"/>
      <c r="C460" s="245"/>
      <c r="D460" s="28"/>
      <c r="E460" s="246"/>
      <c r="F460" s="247"/>
      <c r="G460" s="247"/>
      <c r="H460" s="248"/>
      <c r="I460" s="248">
        <f>F460*H460</f>
        <v>0</v>
      </c>
      <c r="J460" s="249">
        <v>0</v>
      </c>
      <c r="K460" s="249">
        <f t="shared" ref="K460:U461" si="89">SUM(K461:K464)</f>
        <v>0</v>
      </c>
      <c r="L460" s="249">
        <f t="shared" si="89"/>
        <v>0</v>
      </c>
      <c r="M460" s="249">
        <f t="shared" si="89"/>
        <v>0</v>
      </c>
      <c r="N460" s="249">
        <f t="shared" si="89"/>
        <v>0</v>
      </c>
      <c r="O460" s="249">
        <f t="shared" si="89"/>
        <v>0</v>
      </c>
      <c r="P460" s="249">
        <f t="shared" si="89"/>
        <v>0</v>
      </c>
      <c r="Q460" s="249">
        <f t="shared" si="89"/>
        <v>0</v>
      </c>
      <c r="R460" s="249">
        <f t="shared" si="89"/>
        <v>0</v>
      </c>
      <c r="S460" s="249">
        <f t="shared" si="89"/>
        <v>0</v>
      </c>
      <c r="T460" s="249">
        <f t="shared" si="89"/>
        <v>0</v>
      </c>
      <c r="U460" s="249">
        <f t="shared" si="89"/>
        <v>0</v>
      </c>
      <c r="V460" s="249">
        <f>SUM(I460:U460)</f>
        <v>0</v>
      </c>
    </row>
    <row r="461" spans="1:22">
      <c r="A461" s="30" t="s">
        <v>14</v>
      </c>
      <c r="B461" s="245"/>
      <c r="C461" s="245"/>
      <c r="D461" s="28"/>
      <c r="E461" s="246"/>
      <c r="F461" s="247"/>
      <c r="G461" s="247"/>
      <c r="H461" s="248"/>
      <c r="I461" s="248">
        <f>F461*H461</f>
        <v>0</v>
      </c>
      <c r="J461" s="249">
        <f>SUM(J462:J465)</f>
        <v>0</v>
      </c>
      <c r="K461" s="249">
        <f t="shared" si="89"/>
        <v>0</v>
      </c>
      <c r="L461" s="249">
        <f t="shared" si="89"/>
        <v>0</v>
      </c>
      <c r="M461" s="249">
        <f t="shared" si="89"/>
        <v>0</v>
      </c>
      <c r="N461" s="249">
        <f t="shared" si="89"/>
        <v>0</v>
      </c>
      <c r="O461" s="249">
        <f t="shared" si="89"/>
        <v>0</v>
      </c>
      <c r="P461" s="249">
        <f t="shared" si="89"/>
        <v>0</v>
      </c>
      <c r="Q461" s="249">
        <f t="shared" si="89"/>
        <v>0</v>
      </c>
      <c r="R461" s="249">
        <f t="shared" si="89"/>
        <v>0</v>
      </c>
      <c r="S461" s="249">
        <f t="shared" si="89"/>
        <v>0</v>
      </c>
      <c r="T461" s="249">
        <f t="shared" si="89"/>
        <v>0</v>
      </c>
      <c r="U461" s="249">
        <f t="shared" si="89"/>
        <v>0</v>
      </c>
      <c r="V461" s="249">
        <f>SUM(J461:U461)</f>
        <v>0</v>
      </c>
    </row>
    <row r="462" spans="1:22">
      <c r="A462" s="26" t="s">
        <v>934</v>
      </c>
      <c r="B462" s="245"/>
      <c r="C462" s="245"/>
      <c r="D462" s="28"/>
      <c r="E462" s="246"/>
      <c r="F462" s="247"/>
      <c r="G462" s="247"/>
      <c r="H462" s="248"/>
      <c r="I462" s="248">
        <f t="shared" ref="I462:I504" si="90">F462*H462</f>
        <v>0</v>
      </c>
      <c r="J462" s="250"/>
      <c r="K462" s="250"/>
      <c r="L462" s="250"/>
      <c r="M462" s="250"/>
      <c r="N462" s="250"/>
      <c r="O462" s="250"/>
      <c r="P462" s="250"/>
      <c r="Q462" s="250"/>
      <c r="R462" s="250"/>
      <c r="S462" s="250"/>
      <c r="T462" s="250"/>
      <c r="U462" s="250"/>
      <c r="V462" s="250">
        <f t="shared" ref="V462:V465" si="91">J462+K462+L462+M462+N462+O462+P462+Q462+R462+S462+T462+U462</f>
        <v>0</v>
      </c>
    </row>
    <row r="463" spans="1:22">
      <c r="A463" s="26"/>
      <c r="B463" s="251"/>
      <c r="C463" s="251"/>
      <c r="D463" s="30"/>
      <c r="E463" s="252"/>
      <c r="F463" s="253"/>
      <c r="G463" s="253"/>
      <c r="H463" s="248"/>
      <c r="I463" s="248">
        <f t="shared" si="90"/>
        <v>0</v>
      </c>
      <c r="J463" s="250"/>
      <c r="K463" s="250"/>
      <c r="L463" s="250"/>
      <c r="M463" s="250"/>
      <c r="N463" s="250"/>
      <c r="O463" s="250"/>
      <c r="P463" s="250"/>
      <c r="Q463" s="250"/>
      <c r="R463" s="250"/>
      <c r="S463" s="250"/>
      <c r="T463" s="250"/>
      <c r="U463" s="250"/>
      <c r="V463" s="250">
        <f t="shared" si="91"/>
        <v>0</v>
      </c>
    </row>
    <row r="464" spans="1:22">
      <c r="A464" s="26"/>
      <c r="B464" s="254"/>
      <c r="C464" s="254"/>
      <c r="D464" s="26"/>
      <c r="E464" s="255"/>
      <c r="F464" s="256"/>
      <c r="G464" s="256"/>
      <c r="H464" s="248"/>
      <c r="I464" s="248">
        <f t="shared" si="90"/>
        <v>0</v>
      </c>
      <c r="J464" s="250"/>
      <c r="K464" s="250"/>
      <c r="L464" s="250"/>
      <c r="M464" s="250"/>
      <c r="N464" s="250"/>
      <c r="O464" s="250"/>
      <c r="P464" s="250"/>
      <c r="Q464" s="250"/>
      <c r="R464" s="250"/>
      <c r="S464" s="250"/>
      <c r="T464" s="250"/>
      <c r="U464" s="250"/>
      <c r="V464" s="250">
        <f t="shared" si="91"/>
        <v>0</v>
      </c>
    </row>
    <row r="465" spans="1:22">
      <c r="A465" s="26"/>
      <c r="B465" s="254"/>
      <c r="C465" s="254"/>
      <c r="D465" s="26"/>
      <c r="E465" s="255"/>
      <c r="F465" s="256"/>
      <c r="G465" s="256"/>
      <c r="H465" s="248"/>
      <c r="I465" s="248">
        <f t="shared" si="90"/>
        <v>0</v>
      </c>
      <c r="J465" s="250"/>
      <c r="K465" s="250"/>
      <c r="L465" s="250"/>
      <c r="M465" s="250"/>
      <c r="N465" s="250"/>
      <c r="O465" s="250"/>
      <c r="P465" s="250"/>
      <c r="Q465" s="250"/>
      <c r="R465" s="250"/>
      <c r="S465" s="250"/>
      <c r="T465" s="250"/>
      <c r="U465" s="250"/>
      <c r="V465" s="250">
        <f t="shared" si="91"/>
        <v>0</v>
      </c>
    </row>
    <row r="466" spans="1:22">
      <c r="A466" s="30" t="s">
        <v>21</v>
      </c>
      <c r="B466" s="254"/>
      <c r="C466" s="254"/>
      <c r="D466" s="26"/>
      <c r="E466" s="255"/>
      <c r="F466" s="256"/>
      <c r="G466" s="256"/>
      <c r="H466" s="248"/>
      <c r="I466" s="248">
        <f t="shared" si="90"/>
        <v>0</v>
      </c>
      <c r="J466" s="249">
        <v>0</v>
      </c>
      <c r="K466" s="249"/>
      <c r="L466" s="249"/>
      <c r="M466" s="249"/>
      <c r="N466" s="249"/>
      <c r="O466" s="249"/>
      <c r="P466" s="249"/>
      <c r="Q466" s="249"/>
      <c r="R466" s="249"/>
      <c r="S466" s="249"/>
      <c r="T466" s="249"/>
      <c r="U466" s="249"/>
      <c r="V466" s="249"/>
    </row>
    <row r="467" spans="1:22">
      <c r="A467" s="30" t="s">
        <v>22</v>
      </c>
      <c r="B467" s="254"/>
      <c r="C467" s="254"/>
      <c r="D467" s="26"/>
      <c r="E467" s="255"/>
      <c r="F467" s="256"/>
      <c r="G467" s="256"/>
      <c r="H467" s="248"/>
      <c r="I467" s="248">
        <f t="shared" si="90"/>
        <v>0</v>
      </c>
      <c r="J467" s="249">
        <v>0</v>
      </c>
      <c r="K467" s="249"/>
      <c r="L467" s="249"/>
      <c r="M467" s="249"/>
      <c r="N467" s="249"/>
      <c r="O467" s="249"/>
      <c r="P467" s="249"/>
      <c r="Q467" s="249"/>
      <c r="R467" s="249"/>
      <c r="S467" s="249"/>
      <c r="T467" s="249"/>
      <c r="U467" s="249"/>
      <c r="V467" s="249"/>
    </row>
    <row r="468" spans="1:22">
      <c r="A468" s="30" t="s">
        <v>935</v>
      </c>
      <c r="B468" s="245"/>
      <c r="C468" s="245"/>
      <c r="D468" s="28"/>
      <c r="E468" s="246"/>
      <c r="F468" s="247"/>
      <c r="G468" s="247"/>
      <c r="H468" s="248"/>
      <c r="I468" s="248">
        <f t="shared" si="90"/>
        <v>0</v>
      </c>
      <c r="J468" s="249">
        <f t="shared" ref="J468:V468" si="92">SUM(J469:J474)</f>
        <v>0</v>
      </c>
      <c r="K468" s="249">
        <f t="shared" si="92"/>
        <v>0</v>
      </c>
      <c r="L468" s="249">
        <f t="shared" si="92"/>
        <v>0</v>
      </c>
      <c r="M468" s="249">
        <f t="shared" si="92"/>
        <v>0</v>
      </c>
      <c r="N468" s="249">
        <f t="shared" si="92"/>
        <v>0</v>
      </c>
      <c r="O468" s="249">
        <f t="shared" si="92"/>
        <v>0</v>
      </c>
      <c r="P468" s="249">
        <f t="shared" si="92"/>
        <v>0</v>
      </c>
      <c r="Q468" s="249">
        <f t="shared" si="92"/>
        <v>0</v>
      </c>
      <c r="R468" s="249">
        <f t="shared" si="92"/>
        <v>0</v>
      </c>
      <c r="S468" s="249">
        <f t="shared" si="92"/>
        <v>0</v>
      </c>
      <c r="T468" s="249">
        <f t="shared" si="92"/>
        <v>0</v>
      </c>
      <c r="U468" s="249">
        <f t="shared" si="92"/>
        <v>0</v>
      </c>
      <c r="V468" s="249">
        <f t="shared" si="92"/>
        <v>0</v>
      </c>
    </row>
    <row r="469" spans="1:22">
      <c r="A469" s="26" t="s">
        <v>936</v>
      </c>
      <c r="B469" s="245"/>
      <c r="C469" s="245"/>
      <c r="D469" s="28"/>
      <c r="E469" s="246"/>
      <c r="F469" s="247"/>
      <c r="G469" s="247"/>
      <c r="H469" s="248"/>
      <c r="I469" s="248">
        <f t="shared" si="90"/>
        <v>0</v>
      </c>
      <c r="J469" s="250"/>
      <c r="K469" s="250"/>
      <c r="L469" s="250"/>
      <c r="M469" s="250"/>
      <c r="N469" s="250"/>
      <c r="O469" s="250"/>
      <c r="P469" s="250"/>
      <c r="Q469" s="250"/>
      <c r="R469" s="250"/>
      <c r="S469" s="250"/>
      <c r="T469" s="250"/>
      <c r="U469" s="250"/>
      <c r="V469" s="250">
        <f t="shared" ref="V469:V475" si="93">J469+K469+L469+M469+N469+O469+P469+Q469+R469+S469+T469+U469</f>
        <v>0</v>
      </c>
    </row>
    <row r="470" spans="1:22">
      <c r="A470" s="26"/>
      <c r="B470" s="257"/>
      <c r="C470" s="257"/>
      <c r="D470" s="258"/>
      <c r="E470" s="259"/>
      <c r="F470" s="260"/>
      <c r="G470" s="260"/>
      <c r="H470" s="248"/>
      <c r="I470" s="248">
        <f t="shared" si="90"/>
        <v>0</v>
      </c>
      <c r="J470" s="250"/>
      <c r="K470" s="250"/>
      <c r="L470" s="250"/>
      <c r="M470" s="250"/>
      <c r="N470" s="250"/>
      <c r="O470" s="250"/>
      <c r="P470" s="250"/>
      <c r="Q470" s="250"/>
      <c r="R470" s="250"/>
      <c r="S470" s="250"/>
      <c r="T470" s="250"/>
      <c r="U470" s="250"/>
      <c r="V470" s="250">
        <f t="shared" si="93"/>
        <v>0</v>
      </c>
    </row>
    <row r="471" spans="1:22">
      <c r="A471" s="26"/>
      <c r="B471" s="254"/>
      <c r="C471" s="254"/>
      <c r="D471" s="26"/>
      <c r="E471" s="255"/>
      <c r="F471" s="256"/>
      <c r="G471" s="256"/>
      <c r="H471" s="248"/>
      <c r="I471" s="248">
        <f t="shared" si="90"/>
        <v>0</v>
      </c>
      <c r="J471" s="250"/>
      <c r="K471" s="250"/>
      <c r="L471" s="250"/>
      <c r="M471" s="250"/>
      <c r="N471" s="250"/>
      <c r="O471" s="250"/>
      <c r="P471" s="250"/>
      <c r="Q471" s="250"/>
      <c r="R471" s="250"/>
      <c r="S471" s="250"/>
      <c r="T471" s="250"/>
      <c r="U471" s="250"/>
      <c r="V471" s="250">
        <f t="shared" si="93"/>
        <v>0</v>
      </c>
    </row>
    <row r="472" spans="1:22">
      <c r="A472" s="26" t="s">
        <v>937</v>
      </c>
      <c r="B472" s="254"/>
      <c r="C472" s="254"/>
      <c r="D472" s="26"/>
      <c r="E472" s="255"/>
      <c r="F472" s="256"/>
      <c r="G472" s="256"/>
      <c r="H472" s="248"/>
      <c r="I472" s="248">
        <f t="shared" si="90"/>
        <v>0</v>
      </c>
      <c r="J472" s="250"/>
      <c r="K472" s="250"/>
      <c r="L472" s="250"/>
      <c r="M472" s="250"/>
      <c r="N472" s="250"/>
      <c r="O472" s="250"/>
      <c r="P472" s="250"/>
      <c r="Q472" s="250"/>
      <c r="R472" s="250"/>
      <c r="S472" s="250"/>
      <c r="T472" s="250"/>
      <c r="U472" s="250"/>
      <c r="V472" s="250">
        <f t="shared" si="93"/>
        <v>0</v>
      </c>
    </row>
    <row r="473" spans="1:22">
      <c r="A473" s="26"/>
      <c r="B473" s="254"/>
      <c r="C473" s="254"/>
      <c r="D473" s="26"/>
      <c r="E473" s="255"/>
      <c r="F473" s="256"/>
      <c r="G473" s="256"/>
      <c r="H473" s="248"/>
      <c r="I473" s="248">
        <f t="shared" si="90"/>
        <v>0</v>
      </c>
      <c r="J473" s="250"/>
      <c r="K473" s="250"/>
      <c r="L473" s="250"/>
      <c r="M473" s="250"/>
      <c r="N473" s="250"/>
      <c r="O473" s="250"/>
      <c r="P473" s="250"/>
      <c r="Q473" s="250"/>
      <c r="R473" s="250"/>
      <c r="S473" s="250"/>
      <c r="T473" s="250"/>
      <c r="U473" s="250"/>
      <c r="V473" s="250">
        <f t="shared" si="93"/>
        <v>0</v>
      </c>
    </row>
    <row r="474" spans="1:22">
      <c r="A474" s="26"/>
      <c r="B474" s="254"/>
      <c r="C474" s="254"/>
      <c r="D474" s="26"/>
      <c r="E474" s="255"/>
      <c r="F474" s="256"/>
      <c r="G474" s="256"/>
      <c r="H474" s="248"/>
      <c r="I474" s="248">
        <f t="shared" si="90"/>
        <v>0</v>
      </c>
      <c r="J474" s="250"/>
      <c r="K474" s="250"/>
      <c r="L474" s="250"/>
      <c r="M474" s="250"/>
      <c r="N474" s="250"/>
      <c r="O474" s="250"/>
      <c r="P474" s="250"/>
      <c r="Q474" s="250"/>
      <c r="R474" s="250"/>
      <c r="S474" s="250"/>
      <c r="T474" s="250"/>
      <c r="U474" s="250"/>
      <c r="V474" s="250">
        <f t="shared" si="93"/>
        <v>0</v>
      </c>
    </row>
    <row r="475" spans="1:22">
      <c r="A475" s="30" t="s">
        <v>938</v>
      </c>
      <c r="B475" s="251"/>
      <c r="C475" s="251"/>
      <c r="D475" s="30"/>
      <c r="E475" s="252"/>
      <c r="F475" s="253"/>
      <c r="G475" s="253"/>
      <c r="H475" s="248"/>
      <c r="I475" s="248">
        <f t="shared" si="90"/>
        <v>0</v>
      </c>
      <c r="J475" s="249">
        <f>SUM(J476:J479)</f>
        <v>0</v>
      </c>
      <c r="K475" s="249">
        <f t="shared" ref="K475:U475" si="94">SUM(K476:K479)</f>
        <v>0</v>
      </c>
      <c r="L475" s="249">
        <f t="shared" si="94"/>
        <v>0</v>
      </c>
      <c r="M475" s="249">
        <f t="shared" si="94"/>
        <v>0</v>
      </c>
      <c r="N475" s="249">
        <f t="shared" si="94"/>
        <v>0</v>
      </c>
      <c r="O475" s="249">
        <f t="shared" si="94"/>
        <v>0</v>
      </c>
      <c r="P475" s="249">
        <f t="shared" si="94"/>
        <v>0</v>
      </c>
      <c r="Q475" s="249">
        <f t="shared" si="94"/>
        <v>0</v>
      </c>
      <c r="R475" s="249">
        <f t="shared" si="94"/>
        <v>0</v>
      </c>
      <c r="S475" s="249">
        <f t="shared" si="94"/>
        <v>0</v>
      </c>
      <c r="T475" s="249">
        <f t="shared" si="94"/>
        <v>0</v>
      </c>
      <c r="U475" s="249">
        <f t="shared" si="94"/>
        <v>0</v>
      </c>
      <c r="V475" s="249">
        <f t="shared" si="93"/>
        <v>0</v>
      </c>
    </row>
    <row r="476" spans="1:22">
      <c r="A476" s="261"/>
      <c r="B476" s="262"/>
      <c r="C476" s="262"/>
      <c r="D476" s="261"/>
      <c r="E476" s="263"/>
      <c r="F476" s="264"/>
      <c r="G476" s="264"/>
      <c r="H476" s="265"/>
      <c r="I476" s="265">
        <f t="shared" si="90"/>
        <v>0</v>
      </c>
      <c r="J476" s="266"/>
      <c r="K476" s="266"/>
      <c r="L476" s="266"/>
      <c r="M476" s="266"/>
      <c r="N476" s="266"/>
      <c r="O476" s="266"/>
      <c r="P476" s="266"/>
      <c r="Q476" s="266"/>
      <c r="R476" s="266"/>
      <c r="S476" s="266"/>
      <c r="T476" s="266"/>
      <c r="U476" s="266"/>
      <c r="V476" s="266">
        <f>SUM(J476:U476)</f>
        <v>0</v>
      </c>
    </row>
    <row r="477" spans="1:22">
      <c r="A477" s="261"/>
      <c r="B477" s="262"/>
      <c r="C477" s="262"/>
      <c r="D477" s="261"/>
      <c r="E477" s="263"/>
      <c r="F477" s="264"/>
      <c r="G477" s="264"/>
      <c r="H477" s="265"/>
      <c r="I477" s="265">
        <f t="shared" si="90"/>
        <v>0</v>
      </c>
      <c r="J477" s="266"/>
      <c r="K477" s="266"/>
      <c r="L477" s="266"/>
      <c r="M477" s="266"/>
      <c r="N477" s="266"/>
      <c r="O477" s="266"/>
      <c r="P477" s="266"/>
      <c r="Q477" s="266"/>
      <c r="R477" s="266"/>
      <c r="S477" s="266"/>
      <c r="T477" s="266"/>
      <c r="U477" s="266"/>
      <c r="V477" s="266">
        <f>SUM(J477:U477)</f>
        <v>0</v>
      </c>
    </row>
    <row r="478" spans="1:22">
      <c r="A478" s="261"/>
      <c r="B478" s="262"/>
      <c r="C478" s="262"/>
      <c r="D478" s="261"/>
      <c r="E478" s="263"/>
      <c r="F478" s="264"/>
      <c r="G478" s="264"/>
      <c r="H478" s="265"/>
      <c r="I478" s="265">
        <f t="shared" si="90"/>
        <v>0</v>
      </c>
      <c r="J478" s="266"/>
      <c r="K478" s="266"/>
      <c r="L478" s="266"/>
      <c r="M478" s="266"/>
      <c r="N478" s="266"/>
      <c r="O478" s="266"/>
      <c r="P478" s="266"/>
      <c r="Q478" s="266"/>
      <c r="R478" s="266"/>
      <c r="S478" s="266"/>
      <c r="T478" s="266"/>
      <c r="U478" s="266"/>
      <c r="V478" s="266">
        <f>SUM(J478:U478)</f>
        <v>0</v>
      </c>
    </row>
    <row r="479" spans="1:22">
      <c r="A479" s="30"/>
      <c r="B479" s="251"/>
      <c r="C479" s="251"/>
      <c r="D479" s="30"/>
      <c r="E479" s="252"/>
      <c r="F479" s="253"/>
      <c r="G479" s="253"/>
      <c r="H479" s="248"/>
      <c r="I479" s="248">
        <f t="shared" si="90"/>
        <v>0</v>
      </c>
      <c r="J479" s="249"/>
      <c r="K479" s="249"/>
      <c r="L479" s="249"/>
      <c r="M479" s="249"/>
      <c r="N479" s="249"/>
      <c r="O479" s="249"/>
      <c r="P479" s="249"/>
      <c r="Q479" s="249"/>
      <c r="R479" s="249"/>
      <c r="S479" s="249"/>
      <c r="T479" s="249"/>
      <c r="U479" s="249"/>
      <c r="V479" s="249"/>
    </row>
    <row r="480" spans="1:22">
      <c r="A480" s="30" t="s">
        <v>24</v>
      </c>
      <c r="B480" s="251"/>
      <c r="C480" s="251"/>
      <c r="D480" s="30"/>
      <c r="E480" s="252"/>
      <c r="F480" s="253"/>
      <c r="G480" s="253"/>
      <c r="H480" s="248"/>
      <c r="I480" s="248">
        <f t="shared" si="90"/>
        <v>0</v>
      </c>
      <c r="J480" s="249">
        <f t="shared" ref="J480:V480" si="95">SUM(J481:J483)</f>
        <v>0</v>
      </c>
      <c r="K480" s="249">
        <f t="shared" si="95"/>
        <v>0</v>
      </c>
      <c r="L480" s="249">
        <f t="shared" si="95"/>
        <v>0</v>
      </c>
      <c r="M480" s="249">
        <f t="shared" si="95"/>
        <v>0</v>
      </c>
      <c r="N480" s="249">
        <f t="shared" si="95"/>
        <v>0</v>
      </c>
      <c r="O480" s="249">
        <f t="shared" si="95"/>
        <v>0</v>
      </c>
      <c r="P480" s="249">
        <f t="shared" si="95"/>
        <v>0</v>
      </c>
      <c r="Q480" s="249">
        <f t="shared" si="95"/>
        <v>0</v>
      </c>
      <c r="R480" s="249">
        <f t="shared" si="95"/>
        <v>0</v>
      </c>
      <c r="S480" s="249">
        <f t="shared" si="95"/>
        <v>0</v>
      </c>
      <c r="T480" s="249">
        <f t="shared" si="95"/>
        <v>0</v>
      </c>
      <c r="U480" s="249">
        <f t="shared" si="95"/>
        <v>0</v>
      </c>
      <c r="V480" s="249">
        <f t="shared" si="95"/>
        <v>0</v>
      </c>
    </row>
    <row r="481" spans="1:22">
      <c r="A481" s="26" t="s">
        <v>939</v>
      </c>
      <c r="B481" s="251"/>
      <c r="C481" s="251"/>
      <c r="D481" s="30"/>
      <c r="E481" s="252"/>
      <c r="F481" s="253"/>
      <c r="G481" s="253"/>
      <c r="H481" s="248"/>
      <c r="I481" s="248">
        <f t="shared" si="90"/>
        <v>0</v>
      </c>
      <c r="J481" s="250"/>
      <c r="K481" s="250"/>
      <c r="L481" s="250"/>
      <c r="M481" s="250"/>
      <c r="N481" s="250"/>
      <c r="O481" s="250"/>
      <c r="P481" s="250"/>
      <c r="Q481" s="250"/>
      <c r="R481" s="250"/>
      <c r="S481" s="250"/>
      <c r="T481" s="250"/>
      <c r="U481" s="250"/>
      <c r="V481" s="250">
        <f>J481+K481+L481+M481+N481+O481+P481+Q481+R481+S481+T481+U481</f>
        <v>0</v>
      </c>
    </row>
    <row r="482" spans="1:22">
      <c r="A482" s="26"/>
      <c r="B482" s="251"/>
      <c r="C482" s="251"/>
      <c r="D482" s="30"/>
      <c r="E482" s="252"/>
      <c r="F482" s="253"/>
      <c r="G482" s="253"/>
      <c r="H482" s="248"/>
      <c r="I482" s="248">
        <f t="shared" si="90"/>
        <v>0</v>
      </c>
      <c r="J482" s="250"/>
      <c r="K482" s="250"/>
      <c r="L482" s="250"/>
      <c r="M482" s="250"/>
      <c r="N482" s="250"/>
      <c r="O482" s="250"/>
      <c r="P482" s="250"/>
      <c r="Q482" s="250"/>
      <c r="R482" s="250"/>
      <c r="S482" s="250"/>
      <c r="T482" s="250"/>
      <c r="U482" s="250"/>
      <c r="V482" s="250">
        <f>J482+K482+L482+M482+N482+O482+P482+Q482+R482+S482+T482+U482</f>
        <v>0</v>
      </c>
    </row>
    <row r="483" spans="1:22">
      <c r="A483" s="26"/>
      <c r="B483" s="251"/>
      <c r="C483" s="251"/>
      <c r="D483" s="30"/>
      <c r="E483" s="252"/>
      <c r="F483" s="253"/>
      <c r="G483" s="253"/>
      <c r="H483" s="248"/>
      <c r="I483" s="248">
        <f t="shared" si="90"/>
        <v>0</v>
      </c>
      <c r="J483" s="250"/>
      <c r="K483" s="250"/>
      <c r="L483" s="250"/>
      <c r="M483" s="250"/>
      <c r="N483" s="250"/>
      <c r="O483" s="250"/>
      <c r="P483" s="250"/>
      <c r="Q483" s="250"/>
      <c r="R483" s="250"/>
      <c r="S483" s="250"/>
      <c r="T483" s="250"/>
      <c r="U483" s="250"/>
      <c r="V483" s="250">
        <f>J483+K483+L483+M483+N483+O483+P483+Q483+R483+S483+T483+U483</f>
        <v>0</v>
      </c>
    </row>
    <row r="484" spans="1:22">
      <c r="A484" s="30" t="s">
        <v>25</v>
      </c>
      <c r="B484" s="251"/>
      <c r="C484" s="251"/>
      <c r="D484" s="30"/>
      <c r="E484" s="252"/>
      <c r="F484" s="253"/>
      <c r="G484" s="253"/>
      <c r="H484" s="248"/>
      <c r="I484" s="248">
        <f t="shared" si="90"/>
        <v>0</v>
      </c>
      <c r="J484" s="249">
        <v>0</v>
      </c>
      <c r="K484" s="249">
        <v>0</v>
      </c>
      <c r="L484" s="249">
        <v>0</v>
      </c>
      <c r="M484" s="249">
        <v>0</v>
      </c>
      <c r="N484" s="249">
        <v>0</v>
      </c>
      <c r="O484" s="249">
        <v>0</v>
      </c>
      <c r="P484" s="249">
        <v>0</v>
      </c>
      <c r="Q484" s="249">
        <v>0</v>
      </c>
      <c r="R484" s="249">
        <v>0</v>
      </c>
      <c r="S484" s="249">
        <v>0</v>
      </c>
      <c r="T484" s="249">
        <v>0</v>
      </c>
      <c r="U484" s="249">
        <v>0</v>
      </c>
      <c r="V484" s="249">
        <f>SUM(J484:U484)</f>
        <v>0</v>
      </c>
    </row>
    <row r="485" spans="1:22">
      <c r="A485" s="30" t="s">
        <v>26</v>
      </c>
      <c r="B485" s="251"/>
      <c r="C485" s="251"/>
      <c r="D485" s="30"/>
      <c r="E485" s="252"/>
      <c r="F485" s="253"/>
      <c r="G485" s="253"/>
      <c r="H485" s="248"/>
      <c r="I485" s="248">
        <f t="shared" si="90"/>
        <v>0</v>
      </c>
      <c r="J485" s="249">
        <v>0</v>
      </c>
      <c r="K485" s="249">
        <v>0</v>
      </c>
      <c r="L485" s="249">
        <v>0</v>
      </c>
      <c r="M485" s="249">
        <v>0</v>
      </c>
      <c r="N485" s="249">
        <v>0</v>
      </c>
      <c r="O485" s="249">
        <v>0</v>
      </c>
      <c r="P485" s="249">
        <v>0</v>
      </c>
      <c r="Q485" s="249">
        <v>0</v>
      </c>
      <c r="R485" s="249">
        <v>0</v>
      </c>
      <c r="S485" s="249">
        <v>0</v>
      </c>
      <c r="T485" s="249">
        <v>0</v>
      </c>
      <c r="U485" s="249">
        <v>0</v>
      </c>
      <c r="V485" s="249">
        <f>SUM(J485:U485)</f>
        <v>0</v>
      </c>
    </row>
    <row r="486" spans="1:22">
      <c r="A486" s="30" t="s">
        <v>27</v>
      </c>
      <c r="B486" s="251"/>
      <c r="C486" s="251"/>
      <c r="D486" s="30"/>
      <c r="E486" s="252"/>
      <c r="F486" s="253"/>
      <c r="G486" s="253"/>
      <c r="H486" s="248"/>
      <c r="I486" s="248">
        <f t="shared" si="90"/>
        <v>0</v>
      </c>
      <c r="J486" s="249">
        <v>0</v>
      </c>
      <c r="K486" s="249">
        <v>0</v>
      </c>
      <c r="L486" s="249">
        <v>0</v>
      </c>
      <c r="M486" s="249">
        <v>0</v>
      </c>
      <c r="N486" s="249">
        <v>0</v>
      </c>
      <c r="O486" s="249">
        <v>0</v>
      </c>
      <c r="P486" s="249">
        <v>0</v>
      </c>
      <c r="Q486" s="249">
        <v>0</v>
      </c>
      <c r="R486" s="249">
        <v>0</v>
      </c>
      <c r="S486" s="249">
        <v>0</v>
      </c>
      <c r="T486" s="249">
        <v>0</v>
      </c>
      <c r="U486" s="249">
        <v>0</v>
      </c>
      <c r="V486" s="249">
        <f>SUM(J486:U486)</f>
        <v>0</v>
      </c>
    </row>
    <row r="487" spans="1:22">
      <c r="A487" s="30" t="s">
        <v>940</v>
      </c>
      <c r="B487" s="251"/>
      <c r="C487" s="251"/>
      <c r="D487" s="30"/>
      <c r="E487" s="252"/>
      <c r="F487" s="253"/>
      <c r="G487" s="253"/>
      <c r="H487" s="248"/>
      <c r="I487" s="248">
        <f t="shared" si="90"/>
        <v>0</v>
      </c>
      <c r="J487" s="249">
        <f>SUM(J488:J489)</f>
        <v>0</v>
      </c>
      <c r="K487" s="249">
        <f t="shared" ref="K487:U487" si="96">SUM(K488:K489)</f>
        <v>0</v>
      </c>
      <c r="L487" s="249">
        <f t="shared" si="96"/>
        <v>0</v>
      </c>
      <c r="M487" s="249">
        <f t="shared" si="96"/>
        <v>0</v>
      </c>
      <c r="N487" s="249">
        <f t="shared" si="96"/>
        <v>0</v>
      </c>
      <c r="O487" s="249">
        <f t="shared" si="96"/>
        <v>0</v>
      </c>
      <c r="P487" s="249">
        <f t="shared" si="96"/>
        <v>0</v>
      </c>
      <c r="Q487" s="249">
        <f t="shared" si="96"/>
        <v>0</v>
      </c>
      <c r="R487" s="249">
        <f t="shared" si="96"/>
        <v>0</v>
      </c>
      <c r="S487" s="249">
        <f t="shared" si="96"/>
        <v>0</v>
      </c>
      <c r="T487" s="249">
        <f t="shared" si="96"/>
        <v>0</v>
      </c>
      <c r="U487" s="249">
        <f t="shared" si="96"/>
        <v>0</v>
      </c>
      <c r="V487" s="249">
        <f>SUM(V488:V489)</f>
        <v>0</v>
      </c>
    </row>
    <row r="488" spans="1:22">
      <c r="A488" s="26" t="s">
        <v>941</v>
      </c>
      <c r="B488" s="251"/>
      <c r="C488" s="251"/>
      <c r="D488" s="30"/>
      <c r="E488" s="252"/>
      <c r="F488" s="253"/>
      <c r="G488" s="253"/>
      <c r="H488" s="248"/>
      <c r="I488" s="248">
        <f t="shared" si="90"/>
        <v>0</v>
      </c>
      <c r="J488" s="250">
        <v>0</v>
      </c>
      <c r="K488" s="250">
        <v>0</v>
      </c>
      <c r="L488" s="250">
        <v>0</v>
      </c>
      <c r="M488" s="250">
        <v>0</v>
      </c>
      <c r="N488" s="250">
        <v>0</v>
      </c>
      <c r="O488" s="250">
        <v>0</v>
      </c>
      <c r="P488" s="250">
        <v>0</v>
      </c>
      <c r="Q488" s="250">
        <v>0</v>
      </c>
      <c r="R488" s="250">
        <v>0</v>
      </c>
      <c r="S488" s="250">
        <v>0</v>
      </c>
      <c r="T488" s="250">
        <v>0</v>
      </c>
      <c r="U488" s="250">
        <v>0</v>
      </c>
      <c r="V488" s="250">
        <f>J488+K488+L488+M488+N488+O488+P488+Q488+R488+S488+T488+U488</f>
        <v>0</v>
      </c>
    </row>
    <row r="489" spans="1:22">
      <c r="A489" s="26" t="s">
        <v>941</v>
      </c>
      <c r="B489" s="251"/>
      <c r="C489" s="251"/>
      <c r="D489" s="30"/>
      <c r="E489" s="252"/>
      <c r="F489" s="253"/>
      <c r="G489" s="253"/>
      <c r="H489" s="248"/>
      <c r="I489" s="248">
        <f t="shared" si="90"/>
        <v>0</v>
      </c>
      <c r="J489" s="250">
        <v>0</v>
      </c>
      <c r="K489" s="250">
        <v>0</v>
      </c>
      <c r="L489" s="250">
        <v>0</v>
      </c>
      <c r="M489" s="250">
        <v>0</v>
      </c>
      <c r="N489" s="250">
        <v>0</v>
      </c>
      <c r="O489" s="250">
        <v>0</v>
      </c>
      <c r="P489" s="250">
        <v>0</v>
      </c>
      <c r="Q489" s="250">
        <v>0</v>
      </c>
      <c r="R489" s="250">
        <v>0</v>
      </c>
      <c r="S489" s="250">
        <v>0</v>
      </c>
      <c r="T489" s="250">
        <v>0</v>
      </c>
      <c r="U489" s="250">
        <v>0</v>
      </c>
      <c r="V489" s="250">
        <f>J489+K489+L489+M489+N489+O489+P489+Q489+R489+S489+T489+U489</f>
        <v>0</v>
      </c>
    </row>
    <row r="490" spans="1:22">
      <c r="A490" s="30" t="s">
        <v>28</v>
      </c>
      <c r="B490" s="251"/>
      <c r="C490" s="251"/>
      <c r="D490" s="30"/>
      <c r="E490" s="252"/>
      <c r="F490" s="253"/>
      <c r="G490" s="253"/>
      <c r="H490" s="248"/>
      <c r="I490" s="248">
        <f t="shared" si="90"/>
        <v>0</v>
      </c>
      <c r="J490" s="249"/>
      <c r="K490" s="249"/>
      <c r="L490" s="249"/>
      <c r="M490" s="249"/>
      <c r="N490" s="249"/>
      <c r="O490" s="249"/>
      <c r="P490" s="249"/>
      <c r="Q490" s="249"/>
      <c r="R490" s="249"/>
      <c r="S490" s="249"/>
      <c r="T490" s="249"/>
      <c r="U490" s="249"/>
      <c r="V490" s="249"/>
    </row>
    <row r="491" spans="1:22">
      <c r="A491" s="30" t="s">
        <v>29</v>
      </c>
      <c r="B491" s="245"/>
      <c r="C491" s="245"/>
      <c r="D491" s="28"/>
      <c r="E491" s="246"/>
      <c r="F491" s="247"/>
      <c r="G491" s="247"/>
      <c r="H491" s="248"/>
      <c r="I491" s="248">
        <f t="shared" si="90"/>
        <v>0</v>
      </c>
      <c r="J491" s="249"/>
      <c r="K491" s="249"/>
      <c r="L491" s="249"/>
      <c r="M491" s="249"/>
      <c r="N491" s="249"/>
      <c r="O491" s="249"/>
      <c r="P491" s="249"/>
      <c r="Q491" s="249"/>
      <c r="R491" s="249"/>
      <c r="S491" s="249"/>
      <c r="T491" s="249"/>
      <c r="U491" s="249"/>
      <c r="V491" s="249"/>
    </row>
    <row r="492" spans="1:22">
      <c r="A492" s="30" t="s">
        <v>30</v>
      </c>
      <c r="B492" s="251"/>
      <c r="C492" s="251"/>
      <c r="D492" s="30"/>
      <c r="E492" s="252"/>
      <c r="F492" s="253"/>
      <c r="G492" s="253"/>
      <c r="H492" s="248"/>
      <c r="I492" s="248">
        <f t="shared" si="90"/>
        <v>0</v>
      </c>
      <c r="J492" s="249"/>
      <c r="K492" s="249"/>
      <c r="L492" s="249"/>
      <c r="M492" s="249"/>
      <c r="N492" s="249"/>
      <c r="O492" s="249"/>
      <c r="P492" s="249"/>
      <c r="Q492" s="249"/>
      <c r="R492" s="249"/>
      <c r="S492" s="249"/>
      <c r="T492" s="249"/>
      <c r="U492" s="249"/>
      <c r="V492" s="249"/>
    </row>
    <row r="493" spans="1:22">
      <c r="A493" s="30" t="s">
        <v>31</v>
      </c>
      <c r="B493" s="254"/>
      <c r="C493" s="254"/>
      <c r="D493" s="26"/>
      <c r="E493" s="255"/>
      <c r="F493" s="256"/>
      <c r="G493" s="256"/>
      <c r="H493" s="248"/>
      <c r="I493" s="248">
        <f t="shared" si="90"/>
        <v>0</v>
      </c>
      <c r="J493" s="249"/>
      <c r="K493" s="249"/>
      <c r="L493" s="249"/>
      <c r="M493" s="249"/>
      <c r="N493" s="249"/>
      <c r="O493" s="249"/>
      <c r="P493" s="249"/>
      <c r="Q493" s="249"/>
      <c r="R493" s="249"/>
      <c r="S493" s="249"/>
      <c r="T493" s="249"/>
      <c r="U493" s="249"/>
      <c r="V493" s="249"/>
    </row>
    <row r="494" spans="1:22">
      <c r="A494" s="30" t="s">
        <v>32</v>
      </c>
      <c r="B494" s="254"/>
      <c r="C494" s="254"/>
      <c r="D494" s="26"/>
      <c r="E494" s="255"/>
      <c r="F494" s="256"/>
      <c r="G494" s="256"/>
      <c r="H494" s="248"/>
      <c r="I494" s="248">
        <f t="shared" si="90"/>
        <v>0</v>
      </c>
      <c r="J494" s="249"/>
      <c r="K494" s="249"/>
      <c r="L494" s="249"/>
      <c r="M494" s="249"/>
      <c r="N494" s="249"/>
      <c r="O494" s="249"/>
      <c r="P494" s="249"/>
      <c r="Q494" s="249"/>
      <c r="R494" s="249"/>
      <c r="S494" s="249"/>
      <c r="T494" s="249"/>
      <c r="U494" s="249"/>
      <c r="V494" s="249"/>
    </row>
    <row r="495" spans="1:22">
      <c r="A495" s="30" t="s">
        <v>33</v>
      </c>
      <c r="B495" s="254"/>
      <c r="C495" s="254"/>
      <c r="D495" s="26"/>
      <c r="E495" s="255"/>
      <c r="F495" s="256"/>
      <c r="G495" s="256"/>
      <c r="H495" s="248"/>
      <c r="I495" s="248">
        <f t="shared" si="90"/>
        <v>0</v>
      </c>
      <c r="J495" s="249"/>
      <c r="K495" s="249"/>
      <c r="L495" s="249"/>
      <c r="M495" s="249"/>
      <c r="N495" s="249"/>
      <c r="O495" s="249"/>
      <c r="P495" s="249"/>
      <c r="Q495" s="249"/>
      <c r="R495" s="249"/>
      <c r="S495" s="249"/>
      <c r="T495" s="249"/>
      <c r="U495" s="249"/>
      <c r="V495" s="249"/>
    </row>
    <row r="496" spans="1:22">
      <c r="A496" s="30" t="s">
        <v>34</v>
      </c>
      <c r="B496" s="251"/>
      <c r="C496" s="251"/>
      <c r="D496" s="30"/>
      <c r="E496" s="252"/>
      <c r="F496" s="253"/>
      <c r="G496" s="253"/>
      <c r="H496" s="248"/>
      <c r="I496" s="248">
        <f t="shared" si="90"/>
        <v>0</v>
      </c>
      <c r="J496" s="249"/>
      <c r="K496" s="249"/>
      <c r="L496" s="249"/>
      <c r="M496" s="249"/>
      <c r="N496" s="249"/>
      <c r="O496" s="249"/>
      <c r="P496" s="249"/>
      <c r="Q496" s="249"/>
      <c r="R496" s="249"/>
      <c r="S496" s="249"/>
      <c r="T496" s="249"/>
      <c r="U496" s="249"/>
      <c r="V496" s="249"/>
    </row>
    <row r="497" spans="1:22">
      <c r="A497" s="30" t="s">
        <v>38</v>
      </c>
      <c r="B497" s="251"/>
      <c r="C497" s="251"/>
      <c r="D497" s="30"/>
      <c r="E497" s="252"/>
      <c r="F497" s="253"/>
      <c r="G497" s="253"/>
      <c r="H497" s="248"/>
      <c r="I497" s="248">
        <f t="shared" si="90"/>
        <v>0</v>
      </c>
      <c r="J497" s="249">
        <f>J498</f>
        <v>0</v>
      </c>
      <c r="K497" s="249">
        <f t="shared" ref="K497:V497" si="97">K498</f>
        <v>0</v>
      </c>
      <c r="L497" s="249">
        <f t="shared" si="97"/>
        <v>0</v>
      </c>
      <c r="M497" s="249">
        <f t="shared" si="97"/>
        <v>0</v>
      </c>
      <c r="N497" s="249">
        <f t="shared" si="97"/>
        <v>0</v>
      </c>
      <c r="O497" s="249">
        <f t="shared" si="97"/>
        <v>0</v>
      </c>
      <c r="P497" s="249">
        <f t="shared" si="97"/>
        <v>0</v>
      </c>
      <c r="Q497" s="249">
        <f t="shared" si="97"/>
        <v>0</v>
      </c>
      <c r="R497" s="249">
        <f t="shared" si="97"/>
        <v>0</v>
      </c>
      <c r="S497" s="249">
        <f t="shared" si="97"/>
        <v>0</v>
      </c>
      <c r="T497" s="249">
        <f t="shared" si="97"/>
        <v>0</v>
      </c>
      <c r="U497" s="249">
        <f t="shared" si="97"/>
        <v>0</v>
      </c>
      <c r="V497" s="249">
        <f t="shared" si="97"/>
        <v>0</v>
      </c>
    </row>
    <row r="498" spans="1:22">
      <c r="A498" s="267" t="s">
        <v>942</v>
      </c>
      <c r="B498" s="254"/>
      <c r="C498" s="254"/>
      <c r="D498" s="26"/>
      <c r="E498" s="255"/>
      <c r="F498" s="256"/>
      <c r="G498" s="256"/>
      <c r="H498" s="248"/>
      <c r="I498" s="248">
        <f t="shared" si="90"/>
        <v>0</v>
      </c>
      <c r="J498" s="268"/>
      <c r="K498" s="268"/>
      <c r="L498" s="268"/>
      <c r="M498" s="268"/>
      <c r="N498" s="268"/>
      <c r="O498" s="268"/>
      <c r="P498" s="268"/>
      <c r="Q498" s="268"/>
      <c r="R498" s="268"/>
      <c r="S498" s="268"/>
      <c r="T498" s="268"/>
      <c r="U498" s="268"/>
      <c r="V498" s="250">
        <f>J498+K498+L498+M498+N498+O498+P498+Q498+R498+S498+T498+U498</f>
        <v>0</v>
      </c>
    </row>
    <row r="499" spans="1:22">
      <c r="A499" s="30" t="s">
        <v>41</v>
      </c>
      <c r="B499" s="254"/>
      <c r="C499" s="254"/>
      <c r="D499" s="26"/>
      <c r="E499" s="255"/>
      <c r="F499" s="256"/>
      <c r="G499" s="256"/>
      <c r="H499" s="248"/>
      <c r="I499" s="248">
        <f t="shared" si="90"/>
        <v>0</v>
      </c>
      <c r="J499" s="249"/>
      <c r="K499" s="249"/>
      <c r="L499" s="249"/>
      <c r="M499" s="249"/>
      <c r="N499" s="249"/>
      <c r="O499" s="249"/>
      <c r="P499" s="249"/>
      <c r="Q499" s="249"/>
      <c r="R499" s="249"/>
      <c r="S499" s="249"/>
      <c r="T499" s="249"/>
      <c r="U499" s="249"/>
      <c r="V499" s="249">
        <f t="shared" ref="V499:V504" si="98">SUM(J499:U499)</f>
        <v>0</v>
      </c>
    </row>
    <row r="500" spans="1:22">
      <c r="A500" s="30" t="s">
        <v>42</v>
      </c>
      <c r="B500" s="254"/>
      <c r="C500" s="254"/>
      <c r="D500" s="26"/>
      <c r="E500" s="255"/>
      <c r="F500" s="256"/>
      <c r="G500" s="256"/>
      <c r="H500" s="248"/>
      <c r="I500" s="248">
        <f t="shared" si="90"/>
        <v>0</v>
      </c>
      <c r="J500" s="249"/>
      <c r="K500" s="249"/>
      <c r="L500" s="249"/>
      <c r="M500" s="249"/>
      <c r="N500" s="249"/>
      <c r="O500" s="249"/>
      <c r="P500" s="249"/>
      <c r="Q500" s="249"/>
      <c r="R500" s="249"/>
      <c r="S500" s="249"/>
      <c r="T500" s="249"/>
      <c r="U500" s="249"/>
      <c r="V500" s="249">
        <f t="shared" si="98"/>
        <v>0</v>
      </c>
    </row>
    <row r="501" spans="1:22">
      <c r="A501" s="30" t="s">
        <v>23</v>
      </c>
      <c r="B501" s="254"/>
      <c r="C501" s="254"/>
      <c r="D501" s="26"/>
      <c r="E501" s="255"/>
      <c r="F501" s="256"/>
      <c r="G501" s="256"/>
      <c r="H501" s="248"/>
      <c r="I501" s="248">
        <f t="shared" si="90"/>
        <v>0</v>
      </c>
      <c r="J501" s="249"/>
      <c r="K501" s="249"/>
      <c r="L501" s="249"/>
      <c r="M501" s="249"/>
      <c r="N501" s="249"/>
      <c r="O501" s="249"/>
      <c r="P501" s="249"/>
      <c r="Q501" s="249"/>
      <c r="R501" s="249"/>
      <c r="S501" s="249"/>
      <c r="T501" s="249"/>
      <c r="U501" s="249"/>
      <c r="V501" s="249">
        <f t="shared" si="98"/>
        <v>0</v>
      </c>
    </row>
    <row r="502" spans="1:22">
      <c r="A502" s="30" t="s">
        <v>43</v>
      </c>
      <c r="B502" s="245"/>
      <c r="C502" s="245"/>
      <c r="D502" s="28"/>
      <c r="E502" s="246"/>
      <c r="F502" s="247"/>
      <c r="G502" s="247"/>
      <c r="H502" s="248"/>
      <c r="I502" s="248">
        <f t="shared" si="90"/>
        <v>0</v>
      </c>
      <c r="J502" s="249"/>
      <c r="K502" s="249"/>
      <c r="L502" s="249"/>
      <c r="M502" s="249"/>
      <c r="N502" s="249"/>
      <c r="O502" s="249"/>
      <c r="P502" s="249"/>
      <c r="Q502" s="249"/>
      <c r="R502" s="249"/>
      <c r="S502" s="249"/>
      <c r="T502" s="249"/>
      <c r="U502" s="249"/>
      <c r="V502" s="249">
        <f t="shared" si="98"/>
        <v>0</v>
      </c>
    </row>
    <row r="503" spans="1:22">
      <c r="A503" s="30" t="s">
        <v>44</v>
      </c>
      <c r="B503" s="251"/>
      <c r="C503" s="251"/>
      <c r="D503" s="30"/>
      <c r="E503" s="252"/>
      <c r="F503" s="253"/>
      <c r="G503" s="253"/>
      <c r="H503" s="248"/>
      <c r="I503" s="248">
        <f t="shared" si="90"/>
        <v>0</v>
      </c>
      <c r="J503" s="249"/>
      <c r="K503" s="249"/>
      <c r="L503" s="249"/>
      <c r="M503" s="249"/>
      <c r="N503" s="249"/>
      <c r="O503" s="249"/>
      <c r="P503" s="249"/>
      <c r="Q503" s="249"/>
      <c r="R503" s="249"/>
      <c r="S503" s="249"/>
      <c r="T503" s="249"/>
      <c r="U503" s="249"/>
      <c r="V503" s="249">
        <f t="shared" si="98"/>
        <v>0</v>
      </c>
    </row>
    <row r="504" spans="1:22">
      <c r="A504" s="30" t="s">
        <v>45</v>
      </c>
      <c r="B504" s="245"/>
      <c r="C504" s="245"/>
      <c r="D504" s="28"/>
      <c r="E504" s="246"/>
      <c r="F504" s="247"/>
      <c r="G504" s="247"/>
      <c r="H504" s="248"/>
      <c r="I504" s="248">
        <f t="shared" si="90"/>
        <v>0</v>
      </c>
      <c r="J504" s="249"/>
      <c r="K504" s="249"/>
      <c r="L504" s="249"/>
      <c r="M504" s="249"/>
      <c r="N504" s="249"/>
      <c r="O504" s="249"/>
      <c r="P504" s="249"/>
      <c r="Q504" s="249"/>
      <c r="R504" s="249"/>
      <c r="S504" s="249"/>
      <c r="T504" s="249"/>
      <c r="U504" s="249"/>
      <c r="V504" s="249">
        <f t="shared" si="98"/>
        <v>0</v>
      </c>
    </row>
    <row r="505" spans="1:22">
      <c r="A505" s="30"/>
      <c r="B505" s="245"/>
      <c r="C505" s="245"/>
      <c r="D505" s="28"/>
      <c r="E505" s="246"/>
      <c r="F505" s="247"/>
      <c r="G505" s="247"/>
      <c r="H505" s="248"/>
      <c r="I505" s="248"/>
      <c r="J505" s="249"/>
      <c r="K505" s="249"/>
      <c r="L505" s="249"/>
      <c r="M505" s="249"/>
      <c r="N505" s="249"/>
      <c r="O505" s="249"/>
      <c r="P505" s="249"/>
      <c r="Q505" s="249"/>
      <c r="R505" s="249"/>
      <c r="S505" s="249"/>
      <c r="T505" s="249"/>
      <c r="U505" s="249"/>
      <c r="V505" s="249"/>
    </row>
    <row r="506" spans="1:22">
      <c r="A506" s="30" t="s">
        <v>943</v>
      </c>
      <c r="B506" s="254"/>
      <c r="C506" s="254"/>
      <c r="D506" s="26"/>
      <c r="E506" s="255"/>
      <c r="F506" s="256"/>
      <c r="G506" s="256"/>
      <c r="H506" s="248"/>
      <c r="I506" s="248">
        <f t="shared" ref="I506:I569" si="99">F506*H506</f>
        <v>0</v>
      </c>
      <c r="J506" s="249">
        <f t="shared" ref="J506:V506" si="100">SUM(J507:J509)</f>
        <v>8697.68</v>
      </c>
      <c r="K506" s="249">
        <f t="shared" si="100"/>
        <v>8697.68</v>
      </c>
      <c r="L506" s="249">
        <f t="shared" si="100"/>
        <v>8697.68</v>
      </c>
      <c r="M506" s="249">
        <f t="shared" si="100"/>
        <v>8697.68</v>
      </c>
      <c r="N506" s="249">
        <f t="shared" si="100"/>
        <v>8697.68</v>
      </c>
      <c r="O506" s="249">
        <f t="shared" si="100"/>
        <v>8697.68</v>
      </c>
      <c r="P506" s="249">
        <f t="shared" si="100"/>
        <v>9474.25</v>
      </c>
      <c r="Q506" s="249">
        <f t="shared" si="100"/>
        <v>9474.25</v>
      </c>
      <c r="R506" s="249">
        <f t="shared" si="100"/>
        <v>9474.25</v>
      </c>
      <c r="S506" s="249">
        <f t="shared" si="100"/>
        <v>9474.25</v>
      </c>
      <c r="T506" s="249">
        <f t="shared" si="100"/>
        <v>9474.25</v>
      </c>
      <c r="U506" s="249">
        <f t="shared" si="100"/>
        <v>9474.25</v>
      </c>
      <c r="V506" s="249">
        <f t="shared" si="100"/>
        <v>109031.58</v>
      </c>
    </row>
    <row r="507" spans="1:22" ht="60">
      <c r="A507" s="269" t="s">
        <v>944</v>
      </c>
      <c r="B507" s="269" t="s">
        <v>945</v>
      </c>
      <c r="C507" s="269" t="s">
        <v>946</v>
      </c>
      <c r="D507" s="270">
        <v>25194</v>
      </c>
      <c r="E507" s="271" t="s">
        <v>947</v>
      </c>
      <c r="F507" s="270">
        <v>6</v>
      </c>
      <c r="G507" s="272" t="s">
        <v>948</v>
      </c>
      <c r="H507" s="273">
        <v>7765.78</v>
      </c>
      <c r="I507" s="273">
        <f>F507*H507</f>
        <v>46594.68</v>
      </c>
      <c r="J507" s="274">
        <v>7765.78</v>
      </c>
      <c r="K507" s="274">
        <v>7765.78</v>
      </c>
      <c r="L507" s="274">
        <v>7765.78</v>
      </c>
      <c r="M507" s="274">
        <v>7765.78</v>
      </c>
      <c r="N507" s="274">
        <v>7765.78</v>
      </c>
      <c r="O507" s="274">
        <v>7765.78</v>
      </c>
      <c r="P507" s="274">
        <v>0</v>
      </c>
      <c r="Q507" s="274">
        <v>0</v>
      </c>
      <c r="R507" s="274">
        <v>0</v>
      </c>
      <c r="S507" s="274">
        <v>0</v>
      </c>
      <c r="T507" s="274">
        <v>0</v>
      </c>
      <c r="U507" s="274">
        <v>0</v>
      </c>
      <c r="V507" s="274">
        <f>J507+K507+L507+M507+N507+O507+P507+Q507+R507+S507+T507+U507</f>
        <v>46594.68</v>
      </c>
    </row>
    <row r="508" spans="1:22" ht="60">
      <c r="A508" s="269" t="s">
        <v>949</v>
      </c>
      <c r="B508" s="269" t="s">
        <v>945</v>
      </c>
      <c r="C508" s="269" t="s">
        <v>946</v>
      </c>
      <c r="D508" s="270">
        <v>25194</v>
      </c>
      <c r="E508" s="271" t="s">
        <v>947</v>
      </c>
      <c r="F508" s="272">
        <v>6</v>
      </c>
      <c r="G508" s="272" t="s">
        <v>948</v>
      </c>
      <c r="H508" s="275">
        <v>8542.35</v>
      </c>
      <c r="I508" s="275">
        <f t="shared" si="99"/>
        <v>51254.100000000006</v>
      </c>
      <c r="J508" s="276">
        <v>0</v>
      </c>
      <c r="K508" s="276">
        <v>0</v>
      </c>
      <c r="L508" s="276">
        <v>0</v>
      </c>
      <c r="M508" s="276">
        <v>0</v>
      </c>
      <c r="N508" s="276">
        <v>0</v>
      </c>
      <c r="O508" s="276">
        <v>0</v>
      </c>
      <c r="P508" s="276">
        <v>8542.35</v>
      </c>
      <c r="Q508" s="276">
        <v>8542.35</v>
      </c>
      <c r="R508" s="276">
        <v>8542.35</v>
      </c>
      <c r="S508" s="276">
        <v>8542.35</v>
      </c>
      <c r="T508" s="276">
        <v>8542.35</v>
      </c>
      <c r="U508" s="276">
        <v>8542.35</v>
      </c>
      <c r="V508" s="276">
        <f>J508+K508+L508+M508+N508+O508+P508+Q508+R508+S508+T508+U508</f>
        <v>51254.1</v>
      </c>
    </row>
    <row r="509" spans="1:22" ht="60">
      <c r="A509" s="269" t="s">
        <v>950</v>
      </c>
      <c r="B509" s="269" t="s">
        <v>945</v>
      </c>
      <c r="C509" s="269" t="s">
        <v>946</v>
      </c>
      <c r="D509" s="270">
        <v>25194</v>
      </c>
      <c r="E509" s="271" t="s">
        <v>947</v>
      </c>
      <c r="F509" s="272">
        <v>12</v>
      </c>
      <c r="G509" s="272" t="s">
        <v>948</v>
      </c>
      <c r="H509" s="275">
        <v>931.9</v>
      </c>
      <c r="I509" s="275">
        <v>51254.1</v>
      </c>
      <c r="J509" s="276">
        <v>931.9</v>
      </c>
      <c r="K509" s="276">
        <v>931.9</v>
      </c>
      <c r="L509" s="276">
        <v>931.9</v>
      </c>
      <c r="M509" s="276">
        <v>931.9</v>
      </c>
      <c r="N509" s="276">
        <v>931.9</v>
      </c>
      <c r="O509" s="276">
        <v>931.9</v>
      </c>
      <c r="P509" s="276">
        <v>931.9</v>
      </c>
      <c r="Q509" s="276">
        <v>931.9</v>
      </c>
      <c r="R509" s="276">
        <v>931.9</v>
      </c>
      <c r="S509" s="276">
        <v>931.9</v>
      </c>
      <c r="T509" s="276">
        <v>931.9</v>
      </c>
      <c r="U509" s="276">
        <v>931.9</v>
      </c>
      <c r="V509" s="276">
        <f>J509+K509+L509+M509+N509+O509+P509+Q509+R509+S509+T509+U509</f>
        <v>11182.799999999997</v>
      </c>
    </row>
    <row r="510" spans="1:22">
      <c r="A510" s="30" t="s">
        <v>951</v>
      </c>
      <c r="B510" s="254"/>
      <c r="C510" s="254"/>
      <c r="D510" s="277"/>
      <c r="E510" s="271"/>
      <c r="F510" s="277"/>
      <c r="G510" s="277"/>
      <c r="H510" s="278"/>
      <c r="I510" s="278">
        <f t="shared" si="99"/>
        <v>0</v>
      </c>
      <c r="J510" s="279">
        <f t="shared" ref="J510:V510" si="101">SUM(J511:J513)</f>
        <v>42894.95</v>
      </c>
      <c r="K510" s="279">
        <f t="shared" si="101"/>
        <v>42894.95</v>
      </c>
      <c r="L510" s="279">
        <f t="shared" si="101"/>
        <v>42894.95</v>
      </c>
      <c r="M510" s="279">
        <f t="shared" si="101"/>
        <v>42894.95</v>
      </c>
      <c r="N510" s="279">
        <f t="shared" si="101"/>
        <v>42894.95</v>
      </c>
      <c r="O510" s="279">
        <f t="shared" si="101"/>
        <v>42894.95</v>
      </c>
      <c r="P510" s="279">
        <f t="shared" si="101"/>
        <v>42894.95</v>
      </c>
      <c r="Q510" s="279">
        <f t="shared" si="101"/>
        <v>42894.95</v>
      </c>
      <c r="R510" s="279">
        <f t="shared" si="101"/>
        <v>48607.06</v>
      </c>
      <c r="S510" s="279">
        <f t="shared" si="101"/>
        <v>48607.06</v>
      </c>
      <c r="T510" s="279">
        <f t="shared" si="101"/>
        <v>48607.06</v>
      </c>
      <c r="U510" s="279">
        <f t="shared" si="101"/>
        <v>48607.06</v>
      </c>
      <c r="V510" s="279">
        <f t="shared" si="101"/>
        <v>537587.84</v>
      </c>
    </row>
    <row r="511" spans="1:22" ht="105">
      <c r="A511" s="269" t="s">
        <v>952</v>
      </c>
      <c r="B511" s="269" t="s">
        <v>953</v>
      </c>
      <c r="C511" s="269" t="s">
        <v>954</v>
      </c>
      <c r="D511" s="272">
        <v>5380</v>
      </c>
      <c r="E511" s="271" t="s">
        <v>947</v>
      </c>
      <c r="F511" s="272">
        <v>8</v>
      </c>
      <c r="G511" s="272" t="s">
        <v>948</v>
      </c>
      <c r="H511" s="275">
        <v>38078.03</v>
      </c>
      <c r="I511" s="275">
        <f t="shared" si="99"/>
        <v>304624.24</v>
      </c>
      <c r="J511" s="276">
        <v>38078.03</v>
      </c>
      <c r="K511" s="276">
        <v>38078.03</v>
      </c>
      <c r="L511" s="276">
        <v>38078.03</v>
      </c>
      <c r="M511" s="276">
        <v>38078.03</v>
      </c>
      <c r="N511" s="276">
        <v>38078.03</v>
      </c>
      <c r="O511" s="276">
        <v>38078.03</v>
      </c>
      <c r="P511" s="276">
        <v>38078.03</v>
      </c>
      <c r="Q511" s="276">
        <v>38078.03</v>
      </c>
      <c r="R511" s="276">
        <v>0</v>
      </c>
      <c r="S511" s="276">
        <v>0</v>
      </c>
      <c r="T511" s="276">
        <v>0</v>
      </c>
      <c r="U511" s="276">
        <v>0</v>
      </c>
      <c r="V511" s="276">
        <f t="shared" ref="V511:V513" si="102">J511+K511+L511+M511+N511+O511+P511+Q511+R511+S511+T511+U511</f>
        <v>304624.24</v>
      </c>
    </row>
    <row r="512" spans="1:22" ht="105">
      <c r="A512" s="269" t="s">
        <v>955</v>
      </c>
      <c r="B512" s="269" t="s">
        <v>953</v>
      </c>
      <c r="C512" s="269" t="s">
        <v>954</v>
      </c>
      <c r="D512" s="272">
        <v>5380</v>
      </c>
      <c r="E512" s="271" t="s">
        <v>947</v>
      </c>
      <c r="F512" s="272">
        <v>4</v>
      </c>
      <c r="G512" s="272" t="s">
        <v>948</v>
      </c>
      <c r="H512" s="275">
        <v>43790.14</v>
      </c>
      <c r="I512" s="275">
        <f t="shared" si="99"/>
        <v>175160.56</v>
      </c>
      <c r="J512" s="276">
        <v>0</v>
      </c>
      <c r="K512" s="276">
        <v>0</v>
      </c>
      <c r="L512" s="276">
        <v>0</v>
      </c>
      <c r="M512" s="276">
        <v>0</v>
      </c>
      <c r="N512" s="276">
        <v>0</v>
      </c>
      <c r="O512" s="276">
        <v>0</v>
      </c>
      <c r="P512" s="276">
        <v>0</v>
      </c>
      <c r="Q512" s="276">
        <v>0</v>
      </c>
      <c r="R512" s="276">
        <v>43790.14</v>
      </c>
      <c r="S512" s="276">
        <v>43790.14</v>
      </c>
      <c r="T512" s="276">
        <v>43790.14</v>
      </c>
      <c r="U512" s="276">
        <v>43790.14</v>
      </c>
      <c r="V512" s="276">
        <f t="shared" si="102"/>
        <v>175160.56</v>
      </c>
    </row>
    <row r="513" spans="1:22" ht="105">
      <c r="A513" s="269" t="s">
        <v>956</v>
      </c>
      <c r="B513" s="269" t="s">
        <v>953</v>
      </c>
      <c r="C513" s="269" t="s">
        <v>954</v>
      </c>
      <c r="D513" s="272">
        <v>5380</v>
      </c>
      <c r="E513" s="271" t="s">
        <v>947</v>
      </c>
      <c r="F513" s="272">
        <v>12</v>
      </c>
      <c r="G513" s="272" t="s">
        <v>948</v>
      </c>
      <c r="H513" s="275">
        <v>4816.92</v>
      </c>
      <c r="I513" s="275">
        <f t="shared" si="99"/>
        <v>57803.040000000001</v>
      </c>
      <c r="J513" s="276">
        <v>4816.92</v>
      </c>
      <c r="K513" s="276">
        <v>4816.92</v>
      </c>
      <c r="L513" s="276">
        <v>4816.92</v>
      </c>
      <c r="M513" s="276">
        <v>4816.92</v>
      </c>
      <c r="N513" s="276">
        <v>4816.92</v>
      </c>
      <c r="O513" s="276">
        <v>4816.92</v>
      </c>
      <c r="P513" s="276">
        <v>4816.92</v>
      </c>
      <c r="Q513" s="276">
        <v>4816.92</v>
      </c>
      <c r="R513" s="276">
        <v>4816.92</v>
      </c>
      <c r="S513" s="276">
        <v>4816.92</v>
      </c>
      <c r="T513" s="276">
        <v>4816.92</v>
      </c>
      <c r="U513" s="276">
        <v>4816.92</v>
      </c>
      <c r="V513" s="276">
        <f t="shared" si="102"/>
        <v>57803.039999999986</v>
      </c>
    </row>
    <row r="514" spans="1:22">
      <c r="A514" s="30" t="s">
        <v>957</v>
      </c>
      <c r="B514" s="254"/>
      <c r="C514" s="254"/>
      <c r="D514" s="277"/>
      <c r="E514" s="280"/>
      <c r="F514" s="277"/>
      <c r="G514" s="277"/>
      <c r="H514" s="278"/>
      <c r="I514" s="278">
        <f t="shared" si="99"/>
        <v>0</v>
      </c>
      <c r="J514" s="279">
        <f t="shared" ref="J514:V514" si="103">SUM(J515:J516)</f>
        <v>2760.9300000000003</v>
      </c>
      <c r="K514" s="279">
        <f t="shared" si="103"/>
        <v>2875.29</v>
      </c>
      <c r="L514" s="279">
        <f t="shared" si="103"/>
        <v>3561.0800000000004</v>
      </c>
      <c r="M514" s="279">
        <f t="shared" si="103"/>
        <v>3585.1400000000003</v>
      </c>
      <c r="N514" s="279">
        <f t="shared" si="103"/>
        <v>3901.73</v>
      </c>
      <c r="O514" s="279">
        <f t="shared" si="103"/>
        <v>3798.59</v>
      </c>
      <c r="P514" s="279">
        <f t="shared" si="103"/>
        <v>3872.0800000000004</v>
      </c>
      <c r="Q514" s="279">
        <f t="shared" si="103"/>
        <v>2800.07</v>
      </c>
      <c r="R514" s="279">
        <f t="shared" si="103"/>
        <v>3309.6800000000003</v>
      </c>
      <c r="S514" s="279">
        <f t="shared" si="103"/>
        <v>3649.78</v>
      </c>
      <c r="T514" s="279">
        <f t="shared" si="103"/>
        <v>3288.8900000000003</v>
      </c>
      <c r="U514" s="279">
        <f t="shared" si="103"/>
        <v>3183.19</v>
      </c>
      <c r="V514" s="279">
        <f t="shared" si="103"/>
        <v>40586.449999999997</v>
      </c>
    </row>
    <row r="515" spans="1:22" ht="30">
      <c r="A515" s="269" t="s">
        <v>958</v>
      </c>
      <c r="B515" s="281" t="s">
        <v>959</v>
      </c>
      <c r="C515" s="281" t="s">
        <v>960</v>
      </c>
      <c r="D515" s="282">
        <v>4120</v>
      </c>
      <c r="E515" s="271" t="s">
        <v>947</v>
      </c>
      <c r="F515" s="283">
        <v>12</v>
      </c>
      <c r="G515" s="283" t="s">
        <v>948</v>
      </c>
      <c r="H515" s="275">
        <v>2971.65</v>
      </c>
      <c r="I515" s="275">
        <f t="shared" si="99"/>
        <v>35659.800000000003</v>
      </c>
      <c r="J515" s="276">
        <v>2350.38</v>
      </c>
      <c r="K515" s="276">
        <v>2464.7399999999998</v>
      </c>
      <c r="L515" s="276">
        <v>3150.53</v>
      </c>
      <c r="M515" s="276">
        <v>3174.59</v>
      </c>
      <c r="N515" s="276">
        <v>3491.18</v>
      </c>
      <c r="O515" s="276">
        <v>3388.04</v>
      </c>
      <c r="P515" s="276">
        <v>3461.53</v>
      </c>
      <c r="Q515" s="276">
        <v>2389.52</v>
      </c>
      <c r="R515" s="276">
        <v>2899.13</v>
      </c>
      <c r="S515" s="276">
        <v>3239.23</v>
      </c>
      <c r="T515" s="276">
        <v>2878.34</v>
      </c>
      <c r="U515" s="276">
        <v>2772.64</v>
      </c>
      <c r="V515" s="276">
        <f t="shared" ref="V515:V516" si="104">J515+K515+L515+M515+N515+O515+P515+Q515+R515+S515+T515+U515</f>
        <v>35659.85</v>
      </c>
    </row>
    <row r="516" spans="1:22" ht="45">
      <c r="A516" s="269" t="s">
        <v>961</v>
      </c>
      <c r="B516" s="281" t="s">
        <v>962</v>
      </c>
      <c r="C516" s="281" t="s">
        <v>963</v>
      </c>
      <c r="D516" s="282">
        <v>22845</v>
      </c>
      <c r="E516" s="271" t="s">
        <v>947</v>
      </c>
      <c r="F516" s="282">
        <v>12</v>
      </c>
      <c r="G516" s="282" t="s">
        <v>948</v>
      </c>
      <c r="H516" s="275">
        <v>410.55</v>
      </c>
      <c r="I516" s="275">
        <f t="shared" si="99"/>
        <v>4926.6000000000004</v>
      </c>
      <c r="J516" s="276">
        <v>410.55</v>
      </c>
      <c r="K516" s="276">
        <v>410.55</v>
      </c>
      <c r="L516" s="276">
        <v>410.55</v>
      </c>
      <c r="M516" s="276">
        <v>410.55</v>
      </c>
      <c r="N516" s="276">
        <v>410.55</v>
      </c>
      <c r="O516" s="276">
        <v>410.55</v>
      </c>
      <c r="P516" s="276">
        <v>410.55</v>
      </c>
      <c r="Q516" s="276">
        <v>410.55</v>
      </c>
      <c r="R516" s="276">
        <v>410.55</v>
      </c>
      <c r="S516" s="276">
        <v>410.55</v>
      </c>
      <c r="T516" s="276">
        <v>410.55</v>
      </c>
      <c r="U516" s="276">
        <v>410.55</v>
      </c>
      <c r="V516" s="276">
        <f t="shared" si="104"/>
        <v>4926.6000000000013</v>
      </c>
    </row>
    <row r="517" spans="1:22">
      <c r="A517" s="30" t="s">
        <v>964</v>
      </c>
      <c r="B517" s="254"/>
      <c r="C517" s="254"/>
      <c r="D517" s="277"/>
      <c r="E517" s="280"/>
      <c r="F517" s="277"/>
      <c r="G517" s="277"/>
      <c r="H517" s="278"/>
      <c r="I517" s="278">
        <f t="shared" si="99"/>
        <v>0</v>
      </c>
      <c r="J517" s="279">
        <v>0</v>
      </c>
      <c r="K517" s="279">
        <v>0</v>
      </c>
      <c r="L517" s="279">
        <v>0</v>
      </c>
      <c r="M517" s="279">
        <v>0</v>
      </c>
      <c r="N517" s="279">
        <v>0</v>
      </c>
      <c r="O517" s="279">
        <v>0</v>
      </c>
      <c r="P517" s="279">
        <v>0</v>
      </c>
      <c r="Q517" s="279">
        <v>0</v>
      </c>
      <c r="R517" s="279">
        <v>0</v>
      </c>
      <c r="S517" s="279">
        <v>0</v>
      </c>
      <c r="T517" s="279">
        <v>0</v>
      </c>
      <c r="U517" s="279">
        <v>0</v>
      </c>
      <c r="V517" s="279">
        <v>0</v>
      </c>
    </row>
    <row r="518" spans="1:22">
      <c r="A518" s="30" t="s">
        <v>965</v>
      </c>
      <c r="B518" s="254"/>
      <c r="C518" s="254"/>
      <c r="D518" s="277"/>
      <c r="E518" s="280"/>
      <c r="F518" s="277"/>
      <c r="G518" s="277"/>
      <c r="H518" s="278"/>
      <c r="I518" s="278">
        <f t="shared" si="99"/>
        <v>0</v>
      </c>
      <c r="J518" s="279">
        <f t="shared" ref="J518:V518" si="105">SUM(J519:J522)</f>
        <v>40745.43</v>
      </c>
      <c r="K518" s="279">
        <f t="shared" si="105"/>
        <v>40952.21</v>
      </c>
      <c r="L518" s="279">
        <f t="shared" si="105"/>
        <v>40228.07</v>
      </c>
      <c r="M518" s="279">
        <f t="shared" si="105"/>
        <v>41278.130000000005</v>
      </c>
      <c r="N518" s="279">
        <f t="shared" si="105"/>
        <v>47889.81</v>
      </c>
      <c r="O518" s="279">
        <f t="shared" si="105"/>
        <v>46009.4</v>
      </c>
      <c r="P518" s="279">
        <f t="shared" si="105"/>
        <v>41452.880000000005</v>
      </c>
      <c r="Q518" s="279">
        <f t="shared" si="105"/>
        <v>46729.490000000005</v>
      </c>
      <c r="R518" s="279">
        <f t="shared" si="105"/>
        <v>46274.520000000004</v>
      </c>
      <c r="S518" s="279">
        <f t="shared" si="105"/>
        <v>48600</v>
      </c>
      <c r="T518" s="279">
        <f t="shared" si="105"/>
        <v>48600</v>
      </c>
      <c r="U518" s="279">
        <f t="shared" si="105"/>
        <v>48600</v>
      </c>
      <c r="V518" s="279">
        <f t="shared" si="105"/>
        <v>537359.93999999994</v>
      </c>
    </row>
    <row r="519" spans="1:22" ht="30">
      <c r="A519" s="26" t="s">
        <v>966</v>
      </c>
      <c r="B519" s="269" t="s">
        <v>967</v>
      </c>
      <c r="C519" s="269" t="s">
        <v>968</v>
      </c>
      <c r="D519" s="284">
        <v>14928</v>
      </c>
      <c r="E519" s="271" t="s">
        <v>947</v>
      </c>
      <c r="F519" s="272">
        <v>10</v>
      </c>
      <c r="G519" s="272" t="s">
        <v>948</v>
      </c>
      <c r="H519" s="256">
        <v>0</v>
      </c>
      <c r="I519" s="285">
        <v>230159.94</v>
      </c>
      <c r="J519" s="286">
        <v>19745.43</v>
      </c>
      <c r="K519" s="286">
        <v>19952.21</v>
      </c>
      <c r="L519" s="286">
        <v>19228.07</v>
      </c>
      <c r="M519" s="286">
        <v>20278.13</v>
      </c>
      <c r="N519" s="286">
        <v>26889.81</v>
      </c>
      <c r="O519" s="286">
        <v>25009.4</v>
      </c>
      <c r="P519" s="286">
        <v>20452.88</v>
      </c>
      <c r="Q519" s="286">
        <v>25729.49</v>
      </c>
      <c r="R519" s="286">
        <v>25274.52</v>
      </c>
      <c r="S519" s="286">
        <v>27600</v>
      </c>
      <c r="T519" s="286">
        <v>0</v>
      </c>
      <c r="U519" s="286">
        <v>0</v>
      </c>
      <c r="V519" s="286">
        <f>J519+K519+L519+M519+N519+O519+P519+Q519+R519+S519+T519+U519</f>
        <v>230159.93999999997</v>
      </c>
    </row>
    <row r="520" spans="1:22" ht="30">
      <c r="A520" s="26" t="s">
        <v>969</v>
      </c>
      <c r="B520" s="269" t="s">
        <v>967</v>
      </c>
      <c r="C520" s="269" t="s">
        <v>968</v>
      </c>
      <c r="D520" s="284">
        <v>14928</v>
      </c>
      <c r="E520" s="271" t="s">
        <v>947</v>
      </c>
      <c r="F520" s="272">
        <v>2</v>
      </c>
      <c r="G520" s="272" t="s">
        <v>948</v>
      </c>
      <c r="H520" s="256"/>
      <c r="I520" s="285">
        <v>55200</v>
      </c>
      <c r="J520" s="286">
        <v>0</v>
      </c>
      <c r="K520" s="286">
        <v>0</v>
      </c>
      <c r="L520" s="286">
        <v>0</v>
      </c>
      <c r="M520" s="286">
        <v>0</v>
      </c>
      <c r="N520" s="286">
        <v>0</v>
      </c>
      <c r="O520" s="286">
        <v>0</v>
      </c>
      <c r="P520" s="286">
        <v>0</v>
      </c>
      <c r="Q520" s="286">
        <v>0</v>
      </c>
      <c r="R520" s="286">
        <v>0</v>
      </c>
      <c r="S520" s="286">
        <v>0</v>
      </c>
      <c r="T520" s="286">
        <v>27600</v>
      </c>
      <c r="U520" s="286">
        <v>27600</v>
      </c>
      <c r="V520" s="286">
        <f>J520+K520+L520+M520+N520+O520+P520+Q520+R520+S520+T520+U520</f>
        <v>55200</v>
      </c>
    </row>
    <row r="521" spans="1:22" ht="30">
      <c r="A521" s="26" t="s">
        <v>970</v>
      </c>
      <c r="B521" s="269" t="s">
        <v>971</v>
      </c>
      <c r="C521" s="269" t="s">
        <v>972</v>
      </c>
      <c r="D521" s="284">
        <v>14928</v>
      </c>
      <c r="E521" s="271" t="s">
        <v>947</v>
      </c>
      <c r="F521" s="272">
        <v>8</v>
      </c>
      <c r="G521" s="272" t="s">
        <v>948</v>
      </c>
      <c r="H521" s="256"/>
      <c r="I521" s="285">
        <v>168000</v>
      </c>
      <c r="J521" s="286">
        <v>21000</v>
      </c>
      <c r="K521" s="286">
        <v>21000</v>
      </c>
      <c r="L521" s="286">
        <v>21000</v>
      </c>
      <c r="M521" s="286">
        <v>21000</v>
      </c>
      <c r="N521" s="286">
        <v>21000</v>
      </c>
      <c r="O521" s="286">
        <v>21000</v>
      </c>
      <c r="P521" s="286">
        <v>21000</v>
      </c>
      <c r="Q521" s="286">
        <v>21000</v>
      </c>
      <c r="R521" s="286">
        <v>0</v>
      </c>
      <c r="S521" s="286">
        <v>0</v>
      </c>
      <c r="T521" s="286">
        <v>0</v>
      </c>
      <c r="U521" s="286">
        <v>0</v>
      </c>
      <c r="V521" s="286">
        <f>J521+K521+L521+M521+N521+O521+P521+Q521+R521+S521+T521+U521</f>
        <v>168000</v>
      </c>
    </row>
    <row r="522" spans="1:22" ht="30">
      <c r="A522" s="26" t="s">
        <v>973</v>
      </c>
      <c r="B522" s="269" t="s">
        <v>971</v>
      </c>
      <c r="C522" s="269" t="s">
        <v>972</v>
      </c>
      <c r="D522" s="284">
        <v>14928</v>
      </c>
      <c r="E522" s="271" t="s">
        <v>947</v>
      </c>
      <c r="F522" s="272">
        <v>4</v>
      </c>
      <c r="G522" s="272" t="s">
        <v>948</v>
      </c>
      <c r="H522" s="256"/>
      <c r="I522" s="285">
        <v>84000</v>
      </c>
      <c r="J522" s="286">
        <v>0</v>
      </c>
      <c r="K522" s="286">
        <v>0</v>
      </c>
      <c r="L522" s="286">
        <v>0</v>
      </c>
      <c r="M522" s="286">
        <v>0</v>
      </c>
      <c r="N522" s="286">
        <v>0</v>
      </c>
      <c r="O522" s="286">
        <v>0</v>
      </c>
      <c r="P522" s="286">
        <v>0</v>
      </c>
      <c r="Q522" s="286">
        <v>0</v>
      </c>
      <c r="R522" s="286">
        <v>21000</v>
      </c>
      <c r="S522" s="286">
        <v>21000</v>
      </c>
      <c r="T522" s="286">
        <v>21000</v>
      </c>
      <c r="U522" s="286">
        <v>21000</v>
      </c>
      <c r="V522" s="286">
        <f>J522+K522+L522+M522+N522+O522+P522+Q522+R522+S522+T522+U522</f>
        <v>84000</v>
      </c>
    </row>
    <row r="523" spans="1:22">
      <c r="A523" s="30" t="s">
        <v>974</v>
      </c>
      <c r="B523" s="254"/>
      <c r="C523" s="254"/>
      <c r="D523" s="277"/>
      <c r="E523" s="280"/>
      <c r="F523" s="277"/>
      <c r="G523" s="26"/>
      <c r="H523" s="278"/>
      <c r="I523" s="278">
        <f t="shared" si="99"/>
        <v>0</v>
      </c>
      <c r="J523" s="279">
        <f t="shared" ref="J523:V523" si="106">SUM(J524:J526)</f>
        <v>0</v>
      </c>
      <c r="K523" s="279">
        <f t="shared" si="106"/>
        <v>0</v>
      </c>
      <c r="L523" s="279">
        <f t="shared" si="106"/>
        <v>0</v>
      </c>
      <c r="M523" s="279">
        <f t="shared" si="106"/>
        <v>0</v>
      </c>
      <c r="N523" s="279">
        <f t="shared" si="106"/>
        <v>0</v>
      </c>
      <c r="O523" s="279">
        <f t="shared" si="106"/>
        <v>0</v>
      </c>
      <c r="P523" s="279">
        <f t="shared" si="106"/>
        <v>0</v>
      </c>
      <c r="Q523" s="279">
        <f t="shared" si="106"/>
        <v>0</v>
      </c>
      <c r="R523" s="279">
        <f t="shared" si="106"/>
        <v>0</v>
      </c>
      <c r="S523" s="279">
        <f t="shared" si="106"/>
        <v>0</v>
      </c>
      <c r="T523" s="279">
        <f t="shared" si="106"/>
        <v>0</v>
      </c>
      <c r="U523" s="279">
        <f t="shared" si="106"/>
        <v>0</v>
      </c>
      <c r="V523" s="279">
        <f t="shared" si="106"/>
        <v>0</v>
      </c>
    </row>
    <row r="524" spans="1:22">
      <c r="A524" s="26" t="s">
        <v>975</v>
      </c>
      <c r="B524" s="254"/>
      <c r="C524" s="254"/>
      <c r="D524" s="277"/>
      <c r="E524" s="280"/>
      <c r="F524" s="277"/>
      <c r="G524" s="277"/>
      <c r="H524" s="278"/>
      <c r="I524" s="278">
        <f t="shared" si="99"/>
        <v>0</v>
      </c>
      <c r="J524" s="286"/>
      <c r="K524" s="286"/>
      <c r="L524" s="286"/>
      <c r="M524" s="286"/>
      <c r="N524" s="286"/>
      <c r="O524" s="286"/>
      <c r="P524" s="286"/>
      <c r="Q524" s="286"/>
      <c r="R524" s="286"/>
      <c r="S524" s="286"/>
      <c r="T524" s="286"/>
      <c r="U524" s="286"/>
      <c r="V524" s="286">
        <f>J524+K524+L524+M524+N524+O524+P524+Q524+R524+S524+T524+U524</f>
        <v>0</v>
      </c>
    </row>
    <row r="525" spans="1:22">
      <c r="A525" s="26"/>
      <c r="B525" s="254"/>
      <c r="C525" s="254"/>
      <c r="D525" s="277"/>
      <c r="E525" s="280"/>
      <c r="F525" s="277"/>
      <c r="G525" s="277"/>
      <c r="H525" s="278"/>
      <c r="I525" s="278">
        <f t="shared" si="99"/>
        <v>0</v>
      </c>
      <c r="J525" s="286"/>
      <c r="K525" s="286"/>
      <c r="L525" s="286"/>
      <c r="M525" s="286"/>
      <c r="N525" s="286"/>
      <c r="O525" s="286"/>
      <c r="P525" s="286"/>
      <c r="Q525" s="286"/>
      <c r="R525" s="286"/>
      <c r="S525" s="286"/>
      <c r="T525" s="286"/>
      <c r="U525" s="286"/>
      <c r="V525" s="286">
        <f>J525+K525+L525+M525+N525+O525+P525+Q525+R525+S525+T525+U525</f>
        <v>0</v>
      </c>
    </row>
    <row r="526" spans="1:22">
      <c r="A526" s="26"/>
      <c r="B526" s="251"/>
      <c r="C526" s="251"/>
      <c r="D526" s="287"/>
      <c r="E526" s="288"/>
      <c r="F526" s="287"/>
      <c r="G526" s="287"/>
      <c r="H526" s="278"/>
      <c r="I526" s="278">
        <f t="shared" si="99"/>
        <v>0</v>
      </c>
      <c r="J526" s="286"/>
      <c r="K526" s="286"/>
      <c r="L526" s="286"/>
      <c r="M526" s="286"/>
      <c r="N526" s="286"/>
      <c r="O526" s="286"/>
      <c r="P526" s="286"/>
      <c r="Q526" s="286"/>
      <c r="R526" s="286"/>
      <c r="S526" s="286"/>
      <c r="T526" s="286"/>
      <c r="U526" s="286"/>
      <c r="V526" s="286">
        <f>J526+K526+L526+M526+N526+O526+P526+Q526+R526+S526+T526+U526</f>
        <v>0</v>
      </c>
    </row>
    <row r="527" spans="1:22">
      <c r="A527" s="30" t="s">
        <v>363</v>
      </c>
      <c r="B527" s="254"/>
      <c r="C527" s="254"/>
      <c r="D527" s="277"/>
      <c r="E527" s="280"/>
      <c r="F527" s="277"/>
      <c r="G527" s="277"/>
      <c r="H527" s="278"/>
      <c r="I527" s="278">
        <f t="shared" si="99"/>
        <v>0</v>
      </c>
      <c r="J527" s="279">
        <f t="shared" ref="J527:V527" si="107">SUM(J528:J529)</f>
        <v>0</v>
      </c>
      <c r="K527" s="279">
        <f t="shared" si="107"/>
        <v>0</v>
      </c>
      <c r="L527" s="279">
        <f t="shared" si="107"/>
        <v>0</v>
      </c>
      <c r="M527" s="279">
        <f t="shared" si="107"/>
        <v>0</v>
      </c>
      <c r="N527" s="279">
        <f t="shared" si="107"/>
        <v>0</v>
      </c>
      <c r="O527" s="279">
        <f t="shared" si="107"/>
        <v>0</v>
      </c>
      <c r="P527" s="279">
        <f t="shared" si="107"/>
        <v>0</v>
      </c>
      <c r="Q527" s="279">
        <f t="shared" si="107"/>
        <v>0</v>
      </c>
      <c r="R527" s="279">
        <f t="shared" si="107"/>
        <v>0</v>
      </c>
      <c r="S527" s="279">
        <f t="shared" si="107"/>
        <v>0</v>
      </c>
      <c r="T527" s="279">
        <f t="shared" si="107"/>
        <v>0</v>
      </c>
      <c r="U527" s="279">
        <f t="shared" si="107"/>
        <v>0</v>
      </c>
      <c r="V527" s="279">
        <f t="shared" si="107"/>
        <v>0</v>
      </c>
    </row>
    <row r="528" spans="1:22">
      <c r="A528" s="26" t="s">
        <v>976</v>
      </c>
      <c r="B528" s="254"/>
      <c r="C528" s="254"/>
      <c r="D528" s="277"/>
      <c r="E528" s="280"/>
      <c r="F528" s="277"/>
      <c r="G528" s="277"/>
      <c r="H528" s="278"/>
      <c r="I528" s="278">
        <f t="shared" si="99"/>
        <v>0</v>
      </c>
      <c r="J528" s="289"/>
      <c r="K528" s="289"/>
      <c r="L528" s="289"/>
      <c r="M528" s="289"/>
      <c r="N528" s="289"/>
      <c r="O528" s="289"/>
      <c r="P528" s="289"/>
      <c r="Q528" s="289"/>
      <c r="R528" s="289"/>
      <c r="S528" s="289"/>
      <c r="T528" s="289"/>
      <c r="U528" s="289"/>
      <c r="V528" s="286">
        <f>J528+K528+L528+M528+N528+O528+P528+Q528+R528+S528+T528+U528</f>
        <v>0</v>
      </c>
    </row>
    <row r="529" spans="1:22">
      <c r="A529" s="269" t="s">
        <v>977</v>
      </c>
      <c r="B529" s="254"/>
      <c r="C529" s="270"/>
      <c r="D529" s="277"/>
      <c r="E529" s="280"/>
      <c r="F529" s="290"/>
      <c r="G529" s="277"/>
      <c r="H529" s="278"/>
      <c r="I529" s="278">
        <f t="shared" si="99"/>
        <v>0</v>
      </c>
      <c r="J529" s="289"/>
      <c r="K529" s="289"/>
      <c r="L529" s="289"/>
      <c r="M529" s="289"/>
      <c r="N529" s="289"/>
      <c r="O529" s="289"/>
      <c r="P529" s="289"/>
      <c r="Q529" s="289"/>
      <c r="R529" s="289"/>
      <c r="S529" s="289"/>
      <c r="T529" s="289"/>
      <c r="U529" s="289"/>
      <c r="V529" s="286">
        <f>J529+K529+L529+M529+N529+O529+P529+Q529+R529+S529+T529+U529</f>
        <v>0</v>
      </c>
    </row>
    <row r="530" spans="1:22">
      <c r="A530" s="30" t="s">
        <v>978</v>
      </c>
      <c r="B530" s="291"/>
      <c r="C530" s="291"/>
      <c r="D530" s="292"/>
      <c r="E530" s="293"/>
      <c r="F530" s="292"/>
      <c r="G530" s="292"/>
      <c r="H530" s="278"/>
      <c r="I530" s="278">
        <f t="shared" si="99"/>
        <v>0</v>
      </c>
      <c r="J530" s="279">
        <f>SUM(J531:J533)</f>
        <v>0</v>
      </c>
      <c r="K530" s="279">
        <f t="shared" ref="K530:V530" si="108">SUM(K531:K533)</f>
        <v>0</v>
      </c>
      <c r="L530" s="279">
        <f t="shared" si="108"/>
        <v>0</v>
      </c>
      <c r="M530" s="279">
        <f t="shared" si="108"/>
        <v>0</v>
      </c>
      <c r="N530" s="279">
        <f t="shared" si="108"/>
        <v>0</v>
      </c>
      <c r="O530" s="279">
        <v>0</v>
      </c>
      <c r="P530" s="279">
        <f t="shared" si="108"/>
        <v>0</v>
      </c>
      <c r="Q530" s="279">
        <f t="shared" si="108"/>
        <v>0</v>
      </c>
      <c r="R530" s="279">
        <f t="shared" si="108"/>
        <v>0</v>
      </c>
      <c r="S530" s="279">
        <f t="shared" si="108"/>
        <v>0</v>
      </c>
      <c r="T530" s="279">
        <f t="shared" si="108"/>
        <v>0</v>
      </c>
      <c r="U530" s="279">
        <f t="shared" si="108"/>
        <v>0</v>
      </c>
      <c r="V530" s="279">
        <f t="shared" si="108"/>
        <v>0</v>
      </c>
    </row>
    <row r="531" spans="1:22">
      <c r="A531" s="26" t="s">
        <v>979</v>
      </c>
      <c r="B531" s="291"/>
      <c r="C531" s="291"/>
      <c r="D531" s="23"/>
      <c r="E531" s="294"/>
      <c r="F531" s="295"/>
      <c r="G531" s="295"/>
      <c r="H531" s="248"/>
      <c r="I531" s="248">
        <f t="shared" si="99"/>
        <v>0</v>
      </c>
      <c r="J531" s="250"/>
      <c r="K531" s="250"/>
      <c r="L531" s="250"/>
      <c r="M531" s="250"/>
      <c r="N531" s="250"/>
      <c r="O531" s="250"/>
      <c r="P531" s="250"/>
      <c r="Q531" s="250"/>
      <c r="R531" s="250"/>
      <c r="S531" s="250"/>
      <c r="T531" s="250"/>
      <c r="U531" s="250"/>
      <c r="V531" s="250">
        <f>J531+K531+L531+M531+N531+O531+P531+Q531+R531+S531+T531+U531</f>
        <v>0</v>
      </c>
    </row>
    <row r="532" spans="1:22">
      <c r="A532" s="23"/>
      <c r="B532" s="291"/>
      <c r="C532" s="291"/>
      <c r="D532" s="23"/>
      <c r="E532" s="294"/>
      <c r="F532" s="295"/>
      <c r="G532" s="295"/>
      <c r="H532" s="248"/>
      <c r="I532" s="248">
        <f t="shared" si="99"/>
        <v>0</v>
      </c>
      <c r="J532" s="296"/>
      <c r="K532" s="296"/>
      <c r="L532" s="296"/>
      <c r="M532" s="296"/>
      <c r="N532" s="296"/>
      <c r="O532" s="296"/>
      <c r="P532" s="296"/>
      <c r="Q532" s="296"/>
      <c r="R532" s="296"/>
      <c r="S532" s="296"/>
      <c r="T532" s="296"/>
      <c r="U532" s="296"/>
      <c r="V532" s="250">
        <f>J532+K532+L532+M532+N532+O532+P532+Q532+R532+S532+T532+U532</f>
        <v>0</v>
      </c>
    </row>
    <row r="533" spans="1:22">
      <c r="A533" s="26"/>
      <c r="B533" s="291"/>
      <c r="C533" s="291"/>
      <c r="D533" s="23"/>
      <c r="E533" s="294"/>
      <c r="F533" s="295"/>
      <c r="G533" s="295"/>
      <c r="H533" s="248"/>
      <c r="I533" s="248">
        <f t="shared" si="99"/>
        <v>0</v>
      </c>
      <c r="J533" s="296"/>
      <c r="K533" s="296"/>
      <c r="L533" s="296"/>
      <c r="M533" s="296"/>
      <c r="N533" s="296"/>
      <c r="O533" s="296"/>
      <c r="P533" s="296"/>
      <c r="Q533" s="296"/>
      <c r="R533" s="296"/>
      <c r="S533" s="296"/>
      <c r="T533" s="296"/>
      <c r="U533" s="296"/>
      <c r="V533" s="250">
        <f>J533+K533+L533+M533+N533+O533+P533+Q533+R533+S533+T533+U533</f>
        <v>0</v>
      </c>
    </row>
    <row r="534" spans="1:22">
      <c r="A534" s="30" t="s">
        <v>439</v>
      </c>
      <c r="B534" s="291"/>
      <c r="C534" s="291"/>
      <c r="D534" s="23"/>
      <c r="E534" s="294"/>
      <c r="F534" s="295"/>
      <c r="G534" s="295"/>
      <c r="H534" s="248"/>
      <c r="I534" s="248">
        <f t="shared" si="99"/>
        <v>0</v>
      </c>
      <c r="J534" s="249">
        <f t="shared" ref="J534:V534" si="109">SUM(J535:J537)</f>
        <v>0</v>
      </c>
      <c r="K534" s="249">
        <f t="shared" si="109"/>
        <v>0</v>
      </c>
      <c r="L534" s="249">
        <f t="shared" si="109"/>
        <v>0</v>
      </c>
      <c r="M534" s="249">
        <f t="shared" si="109"/>
        <v>0</v>
      </c>
      <c r="N534" s="249">
        <f t="shared" si="109"/>
        <v>0</v>
      </c>
      <c r="O534" s="249">
        <f t="shared" si="109"/>
        <v>0</v>
      </c>
      <c r="P534" s="249">
        <f t="shared" si="109"/>
        <v>0</v>
      </c>
      <c r="Q534" s="249">
        <f t="shared" si="109"/>
        <v>0</v>
      </c>
      <c r="R534" s="249">
        <f t="shared" si="109"/>
        <v>0</v>
      </c>
      <c r="S534" s="249">
        <f t="shared" si="109"/>
        <v>0</v>
      </c>
      <c r="T534" s="249">
        <f t="shared" si="109"/>
        <v>0</v>
      </c>
      <c r="U534" s="249">
        <f t="shared" si="109"/>
        <v>0</v>
      </c>
      <c r="V534" s="249">
        <f t="shared" si="109"/>
        <v>0</v>
      </c>
    </row>
    <row r="535" spans="1:22">
      <c r="A535" s="26" t="s">
        <v>980</v>
      </c>
      <c r="B535" s="254" t="s">
        <v>981</v>
      </c>
      <c r="C535" s="291"/>
      <c r="D535" s="291"/>
      <c r="E535" s="291"/>
      <c r="F535" s="291"/>
      <c r="G535" s="291"/>
      <c r="H535" s="291"/>
      <c r="I535" s="248">
        <f t="shared" si="99"/>
        <v>0</v>
      </c>
      <c r="J535" s="297">
        <v>0</v>
      </c>
      <c r="K535" s="297">
        <v>0</v>
      </c>
      <c r="L535" s="297">
        <v>0</v>
      </c>
      <c r="M535" s="297">
        <v>0</v>
      </c>
      <c r="N535" s="297">
        <v>0</v>
      </c>
      <c r="O535" s="297">
        <v>0</v>
      </c>
      <c r="P535" s="297">
        <v>0</v>
      </c>
      <c r="Q535" s="297">
        <v>0</v>
      </c>
      <c r="R535" s="297">
        <v>0</v>
      </c>
      <c r="S535" s="297">
        <v>0</v>
      </c>
      <c r="T535" s="297">
        <v>0</v>
      </c>
      <c r="U535" s="297">
        <v>0</v>
      </c>
      <c r="V535" s="276">
        <f t="shared" ref="V535:V537" si="110">J535+K535+L535+M535+N535+O535+P535+Q535+R535+S535+T535+U535</f>
        <v>0</v>
      </c>
    </row>
    <row r="536" spans="1:22">
      <c r="A536" s="298" t="s">
        <v>446</v>
      </c>
      <c r="B536" s="254" t="s">
        <v>981</v>
      </c>
      <c r="C536" s="299"/>
      <c r="D536" s="300"/>
      <c r="E536" s="301"/>
      <c r="F536" s="302"/>
      <c r="G536" s="302"/>
      <c r="H536" s="275"/>
      <c r="I536" s="275">
        <v>0</v>
      </c>
      <c r="J536" s="276">
        <v>0</v>
      </c>
      <c r="K536" s="276">
        <v>0</v>
      </c>
      <c r="L536" s="276">
        <v>0</v>
      </c>
      <c r="M536" s="276">
        <v>0</v>
      </c>
      <c r="N536" s="276">
        <v>0</v>
      </c>
      <c r="O536" s="276">
        <v>0</v>
      </c>
      <c r="P536" s="276">
        <v>0</v>
      </c>
      <c r="Q536" s="276">
        <v>0</v>
      </c>
      <c r="R536" s="276">
        <v>0</v>
      </c>
      <c r="S536" s="276">
        <v>0</v>
      </c>
      <c r="T536" s="276">
        <v>0</v>
      </c>
      <c r="U536" s="276">
        <v>0</v>
      </c>
      <c r="V536" s="276">
        <f t="shared" si="110"/>
        <v>0</v>
      </c>
    </row>
    <row r="537" spans="1:22">
      <c r="A537" s="298" t="s">
        <v>982</v>
      </c>
      <c r="B537" s="254" t="s">
        <v>981</v>
      </c>
      <c r="C537" s="299"/>
      <c r="D537" s="299"/>
      <c r="E537" s="299"/>
      <c r="F537" s="299"/>
      <c r="G537" s="299"/>
      <c r="H537" s="299"/>
      <c r="I537" s="275">
        <v>0</v>
      </c>
      <c r="J537" s="276">
        <v>0</v>
      </c>
      <c r="K537" s="276">
        <v>0</v>
      </c>
      <c r="L537" s="276">
        <v>0</v>
      </c>
      <c r="M537" s="276">
        <v>0</v>
      </c>
      <c r="N537" s="276">
        <v>0</v>
      </c>
      <c r="O537" s="276">
        <v>0</v>
      </c>
      <c r="P537" s="276">
        <v>0</v>
      </c>
      <c r="Q537" s="276">
        <v>0</v>
      </c>
      <c r="R537" s="276">
        <v>0</v>
      </c>
      <c r="S537" s="276">
        <v>0</v>
      </c>
      <c r="T537" s="276">
        <v>0</v>
      </c>
      <c r="U537" s="276">
        <v>0</v>
      </c>
      <c r="V537" s="276">
        <f t="shared" si="110"/>
        <v>0</v>
      </c>
    </row>
    <row r="538" spans="1:22">
      <c r="A538" s="30" t="s">
        <v>983</v>
      </c>
      <c r="B538" s="251"/>
      <c r="C538" s="251"/>
      <c r="D538" s="30"/>
      <c r="E538" s="252"/>
      <c r="F538" s="253"/>
      <c r="G538" s="253"/>
      <c r="H538" s="248"/>
      <c r="I538" s="248">
        <f t="shared" si="99"/>
        <v>0</v>
      </c>
      <c r="J538" s="249">
        <f t="shared" ref="J538:V538" si="111">SUM(J539:J540)</f>
        <v>0</v>
      </c>
      <c r="K538" s="249">
        <f t="shared" si="111"/>
        <v>0</v>
      </c>
      <c r="L538" s="249">
        <f t="shared" si="111"/>
        <v>0</v>
      </c>
      <c r="M538" s="249">
        <f t="shared" si="111"/>
        <v>0</v>
      </c>
      <c r="N538" s="249">
        <f t="shared" si="111"/>
        <v>0</v>
      </c>
      <c r="O538" s="249">
        <f t="shared" si="111"/>
        <v>0</v>
      </c>
      <c r="P538" s="249">
        <f t="shared" si="111"/>
        <v>0</v>
      </c>
      <c r="Q538" s="249">
        <f t="shared" si="111"/>
        <v>0</v>
      </c>
      <c r="R538" s="249">
        <f t="shared" si="111"/>
        <v>0</v>
      </c>
      <c r="S538" s="249">
        <f t="shared" si="111"/>
        <v>0</v>
      </c>
      <c r="T538" s="249">
        <f t="shared" si="111"/>
        <v>0</v>
      </c>
      <c r="U538" s="249">
        <f t="shared" si="111"/>
        <v>0</v>
      </c>
      <c r="V538" s="249">
        <f t="shared" si="111"/>
        <v>0</v>
      </c>
    </row>
    <row r="539" spans="1:22">
      <c r="A539" s="26" t="s">
        <v>984</v>
      </c>
      <c r="B539" s="303"/>
      <c r="C539" s="254"/>
      <c r="D539" s="26"/>
      <c r="E539" s="255"/>
      <c r="F539" s="256"/>
      <c r="G539" s="256"/>
      <c r="H539" s="248"/>
      <c r="I539" s="248">
        <f t="shared" si="99"/>
        <v>0</v>
      </c>
      <c r="J539" s="296"/>
      <c r="K539" s="296"/>
      <c r="L539" s="296"/>
      <c r="M539" s="296"/>
      <c r="N539" s="296"/>
      <c r="O539" s="296"/>
      <c r="P539" s="296"/>
      <c r="Q539" s="296"/>
      <c r="R539" s="296"/>
      <c r="S539" s="296"/>
      <c r="T539" s="296"/>
      <c r="U539" s="296"/>
      <c r="V539" s="250">
        <f>J539+K539+L539+M539+N539+O539+P539+Q539+R539+S539+T539+U539</f>
        <v>0</v>
      </c>
    </row>
    <row r="540" spans="1:22">
      <c r="A540" s="26"/>
      <c r="B540" s="254"/>
      <c r="C540" s="254"/>
      <c r="D540" s="26"/>
      <c r="E540" s="255"/>
      <c r="F540" s="256"/>
      <c r="G540" s="256"/>
      <c r="H540" s="248"/>
      <c r="I540" s="248">
        <f t="shared" si="99"/>
        <v>0</v>
      </c>
      <c r="J540" s="250"/>
      <c r="K540" s="250"/>
      <c r="L540" s="250"/>
      <c r="M540" s="250"/>
      <c r="N540" s="250"/>
      <c r="O540" s="250"/>
      <c r="P540" s="250"/>
      <c r="Q540" s="250"/>
      <c r="R540" s="250"/>
      <c r="S540" s="250"/>
      <c r="T540" s="250"/>
      <c r="U540" s="250"/>
      <c r="V540" s="250">
        <f>J540+K540+L540+M540+N540+O540+P540+Q540+R540+S540+T540+U540</f>
        <v>0</v>
      </c>
    </row>
    <row r="541" spans="1:22">
      <c r="A541" s="30" t="s">
        <v>985</v>
      </c>
      <c r="B541" s="254"/>
      <c r="C541" s="254"/>
      <c r="D541" s="26"/>
      <c r="E541" s="255"/>
      <c r="F541" s="256"/>
      <c r="G541" s="256"/>
      <c r="H541" s="248"/>
      <c r="I541" s="248">
        <f t="shared" si="99"/>
        <v>0</v>
      </c>
      <c r="J541" s="249">
        <f t="shared" ref="J541:V541" si="112">SUM(J542:J542)</f>
        <v>0</v>
      </c>
      <c r="K541" s="249">
        <f t="shared" si="112"/>
        <v>0</v>
      </c>
      <c r="L541" s="249">
        <f t="shared" si="112"/>
        <v>0</v>
      </c>
      <c r="M541" s="249">
        <f t="shared" si="112"/>
        <v>0</v>
      </c>
      <c r="N541" s="249">
        <f t="shared" si="112"/>
        <v>0</v>
      </c>
      <c r="O541" s="249">
        <f t="shared" si="112"/>
        <v>0</v>
      </c>
      <c r="P541" s="249">
        <f t="shared" si="112"/>
        <v>0</v>
      </c>
      <c r="Q541" s="249">
        <f t="shared" si="112"/>
        <v>0</v>
      </c>
      <c r="R541" s="249">
        <f t="shared" si="112"/>
        <v>0</v>
      </c>
      <c r="S541" s="249">
        <f t="shared" si="112"/>
        <v>0</v>
      </c>
      <c r="T541" s="249">
        <f t="shared" si="112"/>
        <v>0</v>
      </c>
      <c r="U541" s="249">
        <f t="shared" si="112"/>
        <v>0</v>
      </c>
      <c r="V541" s="249">
        <f t="shared" si="112"/>
        <v>0</v>
      </c>
    </row>
    <row r="542" spans="1:22">
      <c r="A542" s="269" t="s">
        <v>986</v>
      </c>
      <c r="B542" s="245"/>
      <c r="C542" s="245"/>
      <c r="D542" s="28"/>
      <c r="E542" s="304"/>
      <c r="F542" s="305"/>
      <c r="G542" s="305"/>
      <c r="H542" s="275"/>
      <c r="I542" s="275">
        <f t="shared" si="99"/>
        <v>0</v>
      </c>
      <c r="J542" s="276"/>
      <c r="K542" s="276"/>
      <c r="L542" s="276"/>
      <c r="M542" s="276"/>
      <c r="N542" s="276"/>
      <c r="O542" s="276"/>
      <c r="P542" s="276"/>
      <c r="Q542" s="276"/>
      <c r="R542" s="276"/>
      <c r="S542" s="276"/>
      <c r="T542" s="276"/>
      <c r="U542" s="276"/>
      <c r="V542" s="276">
        <f>J542+K542+L542+M542+N542+O542+P542+Q542+R542+S542+T542+U542</f>
        <v>0</v>
      </c>
    </row>
    <row r="543" spans="1:22">
      <c r="A543" s="30" t="s">
        <v>556</v>
      </c>
      <c r="B543" s="245"/>
      <c r="C543" s="245"/>
      <c r="D543" s="28"/>
      <c r="E543" s="246"/>
      <c r="F543" s="247"/>
      <c r="G543" s="247"/>
      <c r="H543" s="248"/>
      <c r="I543" s="248">
        <f t="shared" si="99"/>
        <v>0</v>
      </c>
      <c r="J543" s="249">
        <f t="shared" ref="J543:V543" si="113">SUM(J544:J544)</f>
        <v>11555.32</v>
      </c>
      <c r="K543" s="249">
        <f t="shared" si="113"/>
        <v>11555.32</v>
      </c>
      <c r="L543" s="249">
        <f t="shared" si="113"/>
        <v>11555.32</v>
      </c>
      <c r="M543" s="249">
        <f t="shared" si="113"/>
        <v>11555.32</v>
      </c>
      <c r="N543" s="249">
        <f t="shared" si="113"/>
        <v>11555.32</v>
      </c>
      <c r="O543" s="249">
        <f t="shared" si="113"/>
        <v>11555.32</v>
      </c>
      <c r="P543" s="249">
        <f t="shared" si="113"/>
        <v>11555.32</v>
      </c>
      <c r="Q543" s="249">
        <f t="shared" si="113"/>
        <v>11555.32</v>
      </c>
      <c r="R543" s="249">
        <f t="shared" si="113"/>
        <v>11555.32</v>
      </c>
      <c r="S543" s="249">
        <f t="shared" si="113"/>
        <v>11555.32</v>
      </c>
      <c r="T543" s="249">
        <f t="shared" si="113"/>
        <v>11555.32</v>
      </c>
      <c r="U543" s="249">
        <f t="shared" si="113"/>
        <v>11555.32</v>
      </c>
      <c r="V543" s="249">
        <f t="shared" si="113"/>
        <v>138663.84000000003</v>
      </c>
    </row>
    <row r="544" spans="1:22" ht="30">
      <c r="A544" s="269" t="s">
        <v>559</v>
      </c>
      <c r="B544" s="306" t="s">
        <v>987</v>
      </c>
      <c r="C544" s="306" t="s">
        <v>988</v>
      </c>
      <c r="D544" s="282">
        <v>4316</v>
      </c>
      <c r="E544" s="271" t="s">
        <v>947</v>
      </c>
      <c r="F544" s="282">
        <v>12</v>
      </c>
      <c r="G544" s="282" t="s">
        <v>948</v>
      </c>
      <c r="H544" s="275">
        <v>11555.32</v>
      </c>
      <c r="I544" s="275">
        <f t="shared" si="99"/>
        <v>138663.84</v>
      </c>
      <c r="J544" s="276">
        <v>11555.32</v>
      </c>
      <c r="K544" s="276">
        <v>11555.32</v>
      </c>
      <c r="L544" s="276">
        <v>11555.32</v>
      </c>
      <c r="M544" s="276">
        <v>11555.32</v>
      </c>
      <c r="N544" s="276">
        <v>11555.32</v>
      </c>
      <c r="O544" s="276">
        <v>11555.32</v>
      </c>
      <c r="P544" s="276">
        <v>11555.32</v>
      </c>
      <c r="Q544" s="276">
        <v>11555.32</v>
      </c>
      <c r="R544" s="276">
        <v>11555.32</v>
      </c>
      <c r="S544" s="276">
        <v>11555.32</v>
      </c>
      <c r="T544" s="276">
        <v>11555.32</v>
      </c>
      <c r="U544" s="276">
        <v>11555.32</v>
      </c>
      <c r="V544" s="276">
        <f>J544+K544+L544+M544+N544+O544+P544+Q544+R544+S544+T544+U544</f>
        <v>138663.84000000003</v>
      </c>
    </row>
    <row r="545" spans="1:22">
      <c r="A545" s="300" t="s">
        <v>503</v>
      </c>
      <c r="B545" s="299"/>
      <c r="C545" s="299"/>
      <c r="D545" s="299"/>
      <c r="E545" s="299"/>
      <c r="F545" s="299"/>
      <c r="G545" s="299"/>
      <c r="H545" s="307">
        <v>0</v>
      </c>
      <c r="I545" s="275">
        <v>0</v>
      </c>
      <c r="J545" s="275">
        <v>0</v>
      </c>
      <c r="K545" s="275">
        <v>0</v>
      </c>
      <c r="L545" s="275">
        <v>0</v>
      </c>
      <c r="M545" s="275">
        <v>0</v>
      </c>
      <c r="N545" s="275">
        <v>0</v>
      </c>
      <c r="O545" s="275">
        <v>0</v>
      </c>
      <c r="P545" s="275">
        <v>0</v>
      </c>
      <c r="Q545" s="275">
        <v>0</v>
      </c>
      <c r="R545" s="275">
        <v>0</v>
      </c>
      <c r="S545" s="275">
        <v>0</v>
      </c>
      <c r="T545" s="275">
        <v>0</v>
      </c>
      <c r="U545" s="275">
        <v>0</v>
      </c>
      <c r="V545" s="308">
        <f>SUM(V546:V556)</f>
        <v>120893.64</v>
      </c>
    </row>
    <row r="546" spans="1:22" ht="60">
      <c r="A546" s="281" t="s">
        <v>989</v>
      </c>
      <c r="B546" s="306" t="s">
        <v>990</v>
      </c>
      <c r="C546" s="306" t="s">
        <v>991</v>
      </c>
      <c r="D546" s="306">
        <v>3417</v>
      </c>
      <c r="E546" s="271" t="s">
        <v>992</v>
      </c>
      <c r="F546" s="306">
        <v>1</v>
      </c>
      <c r="G546" s="306" t="s">
        <v>993</v>
      </c>
      <c r="H546" s="309">
        <v>3500</v>
      </c>
      <c r="I546" s="310">
        <f t="shared" si="99"/>
        <v>3500</v>
      </c>
      <c r="J546" s="311">
        <v>0</v>
      </c>
      <c r="K546" s="311">
        <v>0</v>
      </c>
      <c r="L546" s="311">
        <v>0</v>
      </c>
      <c r="M546" s="311">
        <v>0</v>
      </c>
      <c r="N546" s="311">
        <v>0</v>
      </c>
      <c r="O546" s="309">
        <v>3500</v>
      </c>
      <c r="P546" s="312">
        <v>0</v>
      </c>
      <c r="Q546" s="312">
        <v>0</v>
      </c>
      <c r="R546" s="312">
        <v>0</v>
      </c>
      <c r="S546" s="312">
        <v>0</v>
      </c>
      <c r="T546" s="312">
        <v>0</v>
      </c>
      <c r="U546" s="312">
        <v>0</v>
      </c>
      <c r="V546" s="309">
        <f t="shared" ref="V546:V556" si="114">J546+K546+L546+M546+N546+O546+P546+Q546+R546+S546+T546+U546</f>
        <v>3500</v>
      </c>
    </row>
    <row r="547" spans="1:22" ht="75">
      <c r="A547" s="281" t="s">
        <v>994</v>
      </c>
      <c r="B547" s="306" t="s">
        <v>995</v>
      </c>
      <c r="C547" s="306" t="s">
        <v>996</v>
      </c>
      <c r="D547" s="282">
        <v>13102</v>
      </c>
      <c r="E547" s="271" t="s">
        <v>997</v>
      </c>
      <c r="F547" s="306">
        <v>62</v>
      </c>
      <c r="G547" s="306" t="s">
        <v>998</v>
      </c>
      <c r="H547" s="309">
        <v>887.09699999999998</v>
      </c>
      <c r="I547" s="275">
        <f t="shared" si="99"/>
        <v>55000.013999999996</v>
      </c>
      <c r="J547" s="276">
        <v>0</v>
      </c>
      <c r="K547" s="276">
        <v>0</v>
      </c>
      <c r="L547" s="276">
        <v>0</v>
      </c>
      <c r="M547" s="276">
        <v>0</v>
      </c>
      <c r="N547" s="276">
        <v>0</v>
      </c>
      <c r="O547" s="276">
        <v>0</v>
      </c>
      <c r="P547" s="276">
        <v>0</v>
      </c>
      <c r="Q547" s="276">
        <v>55000</v>
      </c>
      <c r="R547" s="276">
        <v>0</v>
      </c>
      <c r="S547" s="276">
        <v>0</v>
      </c>
      <c r="T547" s="276">
        <v>0</v>
      </c>
      <c r="U547" s="276">
        <v>0</v>
      </c>
      <c r="V547" s="276">
        <f t="shared" si="114"/>
        <v>55000</v>
      </c>
    </row>
    <row r="548" spans="1:22" ht="45">
      <c r="A548" s="281" t="s">
        <v>999</v>
      </c>
      <c r="B548" s="306" t="s">
        <v>1000</v>
      </c>
      <c r="C548" s="306" t="s">
        <v>1001</v>
      </c>
      <c r="D548" s="306">
        <v>27103</v>
      </c>
      <c r="E548" s="271" t="s">
        <v>947</v>
      </c>
      <c r="F548" s="306">
        <v>12</v>
      </c>
      <c r="G548" s="306" t="s">
        <v>993</v>
      </c>
      <c r="H548" s="307">
        <v>3041.75</v>
      </c>
      <c r="I548" s="275">
        <f t="shared" si="99"/>
        <v>36501</v>
      </c>
      <c r="J548" s="276">
        <v>3041.75</v>
      </c>
      <c r="K548" s="276">
        <v>3041.75</v>
      </c>
      <c r="L548" s="276">
        <v>3041.75</v>
      </c>
      <c r="M548" s="276">
        <v>3041.75</v>
      </c>
      <c r="N548" s="276">
        <v>3041.75</v>
      </c>
      <c r="O548" s="276">
        <v>3041.75</v>
      </c>
      <c r="P548" s="276">
        <v>3041.75</v>
      </c>
      <c r="Q548" s="276">
        <v>3041.75</v>
      </c>
      <c r="R548" s="276">
        <v>3041.75</v>
      </c>
      <c r="S548" s="276">
        <v>3041.75</v>
      </c>
      <c r="T548" s="276">
        <v>3041.75</v>
      </c>
      <c r="U548" s="276">
        <v>3041.75</v>
      </c>
      <c r="V548" s="276">
        <f t="shared" si="114"/>
        <v>36501</v>
      </c>
    </row>
    <row r="549" spans="1:22" ht="75">
      <c r="A549" s="269" t="s">
        <v>1002</v>
      </c>
      <c r="B549" s="306" t="s">
        <v>1003</v>
      </c>
      <c r="C549" s="306" t="s">
        <v>1004</v>
      </c>
      <c r="D549" s="306">
        <v>3662</v>
      </c>
      <c r="E549" s="271" t="s">
        <v>947</v>
      </c>
      <c r="F549" s="306">
        <v>1</v>
      </c>
      <c r="G549" s="306" t="s">
        <v>993</v>
      </c>
      <c r="H549" s="312">
        <v>668</v>
      </c>
      <c r="I549" s="275">
        <f t="shared" si="99"/>
        <v>668</v>
      </c>
      <c r="J549" s="276">
        <v>0</v>
      </c>
      <c r="K549" s="276">
        <v>0</v>
      </c>
      <c r="L549" s="276">
        <v>0</v>
      </c>
      <c r="M549" s="276">
        <v>0</v>
      </c>
      <c r="N549" s="276">
        <v>0</v>
      </c>
      <c r="O549" s="276">
        <v>0</v>
      </c>
      <c r="P549" s="276">
        <v>0</v>
      </c>
      <c r="Q549" s="276">
        <v>668</v>
      </c>
      <c r="R549" s="276">
        <v>0</v>
      </c>
      <c r="S549" s="276">
        <v>0</v>
      </c>
      <c r="T549" s="276">
        <v>0</v>
      </c>
      <c r="U549" s="276">
        <v>0</v>
      </c>
      <c r="V549" s="276">
        <f t="shared" si="114"/>
        <v>668</v>
      </c>
    </row>
    <row r="550" spans="1:22" ht="75">
      <c r="A550" s="269" t="s">
        <v>1005</v>
      </c>
      <c r="B550" s="306" t="s">
        <v>1003</v>
      </c>
      <c r="C550" s="306" t="s">
        <v>1004</v>
      </c>
      <c r="D550" s="306">
        <v>3662</v>
      </c>
      <c r="E550" s="271" t="s">
        <v>947</v>
      </c>
      <c r="F550" s="306">
        <v>1</v>
      </c>
      <c r="G550" s="306" t="s">
        <v>993</v>
      </c>
      <c r="H550" s="312">
        <v>770</v>
      </c>
      <c r="I550" s="275">
        <f t="shared" si="99"/>
        <v>770</v>
      </c>
      <c r="J550" s="276">
        <v>0</v>
      </c>
      <c r="K550" s="276">
        <v>0</v>
      </c>
      <c r="L550" s="276">
        <v>0</v>
      </c>
      <c r="M550" s="276">
        <v>0</v>
      </c>
      <c r="N550" s="276">
        <v>0</v>
      </c>
      <c r="O550" s="276">
        <v>0</v>
      </c>
      <c r="P550" s="276">
        <v>0</v>
      </c>
      <c r="Q550" s="276">
        <v>770</v>
      </c>
      <c r="R550" s="276">
        <v>0</v>
      </c>
      <c r="S550" s="276">
        <v>0</v>
      </c>
      <c r="T550" s="276">
        <v>0</v>
      </c>
      <c r="U550" s="276">
        <v>0</v>
      </c>
      <c r="V550" s="276">
        <f t="shared" si="114"/>
        <v>770</v>
      </c>
    </row>
    <row r="551" spans="1:22" ht="45">
      <c r="A551" s="281" t="s">
        <v>1006</v>
      </c>
      <c r="B551" s="306" t="s">
        <v>1007</v>
      </c>
      <c r="C551" s="306" t="s">
        <v>1008</v>
      </c>
      <c r="D551" s="306">
        <v>2801</v>
      </c>
      <c r="E551" s="271" t="s">
        <v>947</v>
      </c>
      <c r="F551" s="306">
        <v>8</v>
      </c>
      <c r="G551" s="306" t="s">
        <v>948</v>
      </c>
      <c r="H551" s="307">
        <v>1420.83</v>
      </c>
      <c r="I551" s="275">
        <f t="shared" si="99"/>
        <v>11366.64</v>
      </c>
      <c r="J551" s="276">
        <v>1420.83</v>
      </c>
      <c r="K551" s="276">
        <v>1420.83</v>
      </c>
      <c r="L551" s="276">
        <v>1420.83</v>
      </c>
      <c r="M551" s="276">
        <v>1420.83</v>
      </c>
      <c r="N551" s="276">
        <v>1420.83</v>
      </c>
      <c r="O551" s="276">
        <v>1420.83</v>
      </c>
      <c r="P551" s="276">
        <v>1420.83</v>
      </c>
      <c r="Q551" s="276">
        <v>1420.83</v>
      </c>
      <c r="R551" s="276">
        <v>0</v>
      </c>
      <c r="S551" s="276">
        <v>0</v>
      </c>
      <c r="T551" s="276">
        <v>0</v>
      </c>
      <c r="U551" s="276">
        <v>0</v>
      </c>
      <c r="V551" s="276">
        <f t="shared" si="114"/>
        <v>11366.64</v>
      </c>
    </row>
    <row r="552" spans="1:22" ht="45">
      <c r="A552" s="269" t="s">
        <v>1009</v>
      </c>
      <c r="B552" s="306" t="s">
        <v>1007</v>
      </c>
      <c r="C552" s="306" t="s">
        <v>1008</v>
      </c>
      <c r="D552" s="306">
        <v>2801</v>
      </c>
      <c r="E552" s="271" t="s">
        <v>947</v>
      </c>
      <c r="F552" s="306">
        <v>4</v>
      </c>
      <c r="G552" s="306" t="s">
        <v>948</v>
      </c>
      <c r="H552" s="313">
        <v>1634</v>
      </c>
      <c r="I552" s="275">
        <f t="shared" si="99"/>
        <v>6536</v>
      </c>
      <c r="J552" s="276">
        <v>0</v>
      </c>
      <c r="K552" s="276">
        <v>0</v>
      </c>
      <c r="L552" s="276">
        <v>0</v>
      </c>
      <c r="M552" s="276">
        <v>0</v>
      </c>
      <c r="N552" s="276">
        <v>0</v>
      </c>
      <c r="O552" s="276">
        <v>0</v>
      </c>
      <c r="P552" s="276">
        <v>0</v>
      </c>
      <c r="Q552" s="276">
        <v>0</v>
      </c>
      <c r="R552" s="276">
        <v>1634</v>
      </c>
      <c r="S552" s="276">
        <v>1634</v>
      </c>
      <c r="T552" s="276">
        <v>1634</v>
      </c>
      <c r="U552" s="276">
        <v>1634</v>
      </c>
      <c r="V552" s="276">
        <f t="shared" si="114"/>
        <v>6536</v>
      </c>
    </row>
    <row r="553" spans="1:22" ht="30">
      <c r="A553" s="281" t="s">
        <v>1010</v>
      </c>
      <c r="B553" s="306" t="s">
        <v>1011</v>
      </c>
      <c r="C553" s="306" t="s">
        <v>1012</v>
      </c>
      <c r="D553" s="306">
        <v>20338</v>
      </c>
      <c r="E553" s="271" t="s">
        <v>947</v>
      </c>
      <c r="F553" s="306">
        <v>1</v>
      </c>
      <c r="G553" s="306" t="s">
        <v>948</v>
      </c>
      <c r="H553" s="312">
        <v>480</v>
      </c>
      <c r="I553" s="275">
        <f t="shared" si="99"/>
        <v>480</v>
      </c>
      <c r="J553" s="276">
        <v>480</v>
      </c>
      <c r="K553" s="276">
        <v>0</v>
      </c>
      <c r="L553" s="276">
        <v>0</v>
      </c>
      <c r="M553" s="276">
        <v>0</v>
      </c>
      <c r="N553" s="276">
        <v>0</v>
      </c>
      <c r="O553" s="276">
        <v>0</v>
      </c>
      <c r="P553" s="276">
        <v>0</v>
      </c>
      <c r="Q553" s="276">
        <v>0</v>
      </c>
      <c r="R553" s="276">
        <v>0</v>
      </c>
      <c r="S553" s="276">
        <v>0</v>
      </c>
      <c r="T553" s="276">
        <v>0</v>
      </c>
      <c r="U553" s="276">
        <v>0</v>
      </c>
      <c r="V553" s="276">
        <f t="shared" si="114"/>
        <v>480</v>
      </c>
    </row>
    <row r="554" spans="1:22" ht="30">
      <c r="A554" s="269" t="s">
        <v>1013</v>
      </c>
      <c r="B554" s="306" t="s">
        <v>1011</v>
      </c>
      <c r="C554" s="306" t="s">
        <v>1012</v>
      </c>
      <c r="D554" s="306">
        <v>20338</v>
      </c>
      <c r="E554" s="271" t="s">
        <v>947</v>
      </c>
      <c r="F554" s="306">
        <v>11</v>
      </c>
      <c r="G554" s="306" t="s">
        <v>948</v>
      </c>
      <c r="H554" s="307">
        <v>552</v>
      </c>
      <c r="I554" s="275">
        <f t="shared" si="99"/>
        <v>6072</v>
      </c>
      <c r="J554" s="276">
        <v>0</v>
      </c>
      <c r="K554" s="276">
        <v>552</v>
      </c>
      <c r="L554" s="276">
        <v>552</v>
      </c>
      <c r="M554" s="276">
        <v>552</v>
      </c>
      <c r="N554" s="276">
        <v>552</v>
      </c>
      <c r="O554" s="276">
        <v>552</v>
      </c>
      <c r="P554" s="276">
        <v>552</v>
      </c>
      <c r="Q554" s="276">
        <v>552</v>
      </c>
      <c r="R554" s="276">
        <v>552</v>
      </c>
      <c r="S554" s="276">
        <v>552</v>
      </c>
      <c r="T554" s="276">
        <v>552</v>
      </c>
      <c r="U554" s="276">
        <v>552</v>
      </c>
      <c r="V554" s="276">
        <f>SUM(K554:U554)</f>
        <v>6072</v>
      </c>
    </row>
    <row r="555" spans="1:22">
      <c r="A555" s="269" t="s">
        <v>504</v>
      </c>
      <c r="B555" s="281" t="s">
        <v>981</v>
      </c>
      <c r="C555" s="299"/>
      <c r="D555" s="299"/>
      <c r="E555" s="271"/>
      <c r="F555" s="306"/>
      <c r="G555" s="306"/>
      <c r="H555" s="307">
        <v>0</v>
      </c>
      <c r="I555" s="275">
        <f t="shared" si="99"/>
        <v>0</v>
      </c>
      <c r="J555" s="276">
        <v>0</v>
      </c>
      <c r="K555" s="276">
        <v>0</v>
      </c>
      <c r="L555" s="276">
        <v>0</v>
      </c>
      <c r="M555" s="276">
        <v>0</v>
      </c>
      <c r="N555" s="276">
        <v>0</v>
      </c>
      <c r="O555" s="276">
        <v>0</v>
      </c>
      <c r="P555" s="276">
        <v>0</v>
      </c>
      <c r="Q555" s="276">
        <v>0</v>
      </c>
      <c r="R555" s="276">
        <v>0</v>
      </c>
      <c r="S555" s="276">
        <v>0</v>
      </c>
      <c r="T555" s="276">
        <v>0</v>
      </c>
      <c r="U555" s="276">
        <v>0</v>
      </c>
      <c r="V555" s="276">
        <f t="shared" si="114"/>
        <v>0</v>
      </c>
    </row>
    <row r="556" spans="1:22">
      <c r="A556" s="26" t="s">
        <v>506</v>
      </c>
      <c r="B556" s="281" t="s">
        <v>981</v>
      </c>
      <c r="C556" s="251"/>
      <c r="D556" s="251"/>
      <c r="E556" s="271"/>
      <c r="F556" s="251"/>
      <c r="G556" s="251"/>
      <c r="H556" s="307">
        <v>0</v>
      </c>
      <c r="I556" s="275">
        <f t="shared" si="99"/>
        <v>0</v>
      </c>
      <c r="J556" s="250">
        <v>0</v>
      </c>
      <c r="K556" s="250">
        <v>0</v>
      </c>
      <c r="L556" s="250">
        <v>0</v>
      </c>
      <c r="M556" s="250">
        <v>0</v>
      </c>
      <c r="N556" s="250">
        <v>0</v>
      </c>
      <c r="O556" s="250">
        <v>0</v>
      </c>
      <c r="P556" s="250">
        <v>0</v>
      </c>
      <c r="Q556" s="250">
        <v>0</v>
      </c>
      <c r="R556" s="250">
        <v>0</v>
      </c>
      <c r="S556" s="250">
        <v>0</v>
      </c>
      <c r="T556" s="250">
        <v>0</v>
      </c>
      <c r="U556" s="250">
        <v>0</v>
      </c>
      <c r="V556" s="250">
        <f t="shared" si="114"/>
        <v>0</v>
      </c>
    </row>
    <row r="557" spans="1:22">
      <c r="A557" s="30" t="s">
        <v>1014</v>
      </c>
      <c r="B557" s="251"/>
      <c r="C557" s="251"/>
      <c r="D557" s="251"/>
      <c r="E557" s="251"/>
      <c r="F557" s="251"/>
      <c r="G557" s="251"/>
      <c r="H557" s="251"/>
      <c r="I557" s="248">
        <f t="shared" si="99"/>
        <v>0</v>
      </c>
      <c r="J557" s="249">
        <f>J558</f>
        <v>0</v>
      </c>
      <c r="K557" s="249">
        <f t="shared" ref="K557:U557" si="115">K558</f>
        <v>0</v>
      </c>
      <c r="L557" s="249">
        <f t="shared" si="115"/>
        <v>0</v>
      </c>
      <c r="M557" s="249">
        <f t="shared" si="115"/>
        <v>0</v>
      </c>
      <c r="N557" s="249">
        <f t="shared" si="115"/>
        <v>0</v>
      </c>
      <c r="O557" s="249">
        <f t="shared" si="115"/>
        <v>0</v>
      </c>
      <c r="P557" s="249">
        <f t="shared" si="115"/>
        <v>0</v>
      </c>
      <c r="Q557" s="249">
        <f t="shared" si="115"/>
        <v>0</v>
      </c>
      <c r="R557" s="249">
        <f t="shared" si="115"/>
        <v>0</v>
      </c>
      <c r="S557" s="249">
        <f t="shared" si="115"/>
        <v>0</v>
      </c>
      <c r="T557" s="249">
        <f t="shared" si="115"/>
        <v>0</v>
      </c>
      <c r="U557" s="249">
        <f t="shared" si="115"/>
        <v>0</v>
      </c>
      <c r="V557" s="249">
        <f>SUM(J557:U557)</f>
        <v>0</v>
      </c>
    </row>
    <row r="558" spans="1:22">
      <c r="A558" s="30"/>
      <c r="B558" s="251"/>
      <c r="C558" s="251"/>
      <c r="D558" s="251"/>
      <c r="E558" s="251"/>
      <c r="F558" s="251"/>
      <c r="G558" s="251"/>
      <c r="H558" s="251"/>
      <c r="I558" s="248"/>
      <c r="J558" s="266"/>
      <c r="K558" s="266"/>
      <c r="L558" s="266"/>
      <c r="M558" s="266"/>
      <c r="N558" s="266"/>
      <c r="O558" s="266"/>
      <c r="P558" s="266"/>
      <c r="Q558" s="266"/>
      <c r="R558" s="266"/>
      <c r="S558" s="266"/>
      <c r="T558" s="266"/>
      <c r="U558" s="266"/>
      <c r="V558" s="266">
        <f>SUM(J558:U558)</f>
        <v>0</v>
      </c>
    </row>
    <row r="559" spans="1:22">
      <c r="A559" s="30" t="s">
        <v>560</v>
      </c>
      <c r="B559" s="299"/>
      <c r="C559" s="251"/>
      <c r="D559" s="251"/>
      <c r="E559" s="251"/>
      <c r="F559" s="251"/>
      <c r="G559" s="251"/>
      <c r="H559" s="314"/>
      <c r="I559" s="248">
        <f t="shared" si="99"/>
        <v>0</v>
      </c>
      <c r="J559" s="249"/>
      <c r="K559" s="249"/>
      <c r="L559" s="249"/>
      <c r="M559" s="249"/>
      <c r="N559" s="249"/>
      <c r="O559" s="249"/>
      <c r="P559" s="249"/>
      <c r="Q559" s="249"/>
      <c r="R559" s="249"/>
      <c r="S559" s="249"/>
      <c r="T559" s="249"/>
      <c r="U559" s="249"/>
      <c r="V559" s="249"/>
    </row>
    <row r="560" spans="1:22" ht="45">
      <c r="A560" s="306" t="s">
        <v>562</v>
      </c>
      <c r="B560" s="306" t="s">
        <v>1015</v>
      </c>
      <c r="C560" s="306" t="s">
        <v>1016</v>
      </c>
      <c r="D560" s="306">
        <v>906</v>
      </c>
      <c r="E560" s="271" t="s">
        <v>947</v>
      </c>
      <c r="F560" s="306">
        <v>1</v>
      </c>
      <c r="G560" s="306" t="s">
        <v>1017</v>
      </c>
      <c r="H560" s="309">
        <v>11500</v>
      </c>
      <c r="I560" s="310">
        <f t="shared" si="99"/>
        <v>11500</v>
      </c>
      <c r="J560" s="307">
        <v>0</v>
      </c>
      <c r="K560" s="307">
        <v>0</v>
      </c>
      <c r="L560" s="307">
        <v>0</v>
      </c>
      <c r="M560" s="307">
        <v>11500</v>
      </c>
      <c r="N560" s="312">
        <v>0</v>
      </c>
      <c r="O560" s="312">
        <v>0</v>
      </c>
      <c r="P560" s="312">
        <v>0</v>
      </c>
      <c r="Q560" s="312">
        <v>0</v>
      </c>
      <c r="R560" s="312">
        <v>0</v>
      </c>
      <c r="S560" s="312">
        <v>0</v>
      </c>
      <c r="T560" s="312">
        <v>0</v>
      </c>
      <c r="U560" s="312">
        <v>0</v>
      </c>
      <c r="V560" s="309">
        <f t="shared" ref="V560" si="116">J560+K560+L560+M560+N560+O560+P560+Q560+R560+S560+T560+U560</f>
        <v>11500</v>
      </c>
    </row>
    <row r="561" spans="1:22">
      <c r="A561" s="30" t="s">
        <v>567</v>
      </c>
      <c r="B561" s="262"/>
      <c r="C561" s="262"/>
      <c r="D561" s="251"/>
      <c r="E561" s="251"/>
      <c r="F561" s="251"/>
      <c r="G561" s="251"/>
      <c r="H561" s="251"/>
      <c r="I561" s="248">
        <f t="shared" si="99"/>
        <v>0</v>
      </c>
      <c r="J561" s="249">
        <f t="shared" ref="J561:V561" si="117">SUM(J562:J563)</f>
        <v>17744.28</v>
      </c>
      <c r="K561" s="249">
        <f t="shared" si="117"/>
        <v>17744.28</v>
      </c>
      <c r="L561" s="249">
        <f t="shared" si="117"/>
        <v>17744.28</v>
      </c>
      <c r="M561" s="249">
        <f t="shared" si="117"/>
        <v>17744.28</v>
      </c>
      <c r="N561" s="249">
        <f t="shared" si="117"/>
        <v>17744.28</v>
      </c>
      <c r="O561" s="249">
        <f t="shared" si="117"/>
        <v>17744.28</v>
      </c>
      <c r="P561" s="249">
        <f t="shared" si="117"/>
        <v>17744.28</v>
      </c>
      <c r="Q561" s="249">
        <f t="shared" si="117"/>
        <v>17744.28</v>
      </c>
      <c r="R561" s="249">
        <f t="shared" si="117"/>
        <v>17744.28</v>
      </c>
      <c r="S561" s="249">
        <f t="shared" si="117"/>
        <v>17744.28</v>
      </c>
      <c r="T561" s="249">
        <f t="shared" si="117"/>
        <v>17744.28</v>
      </c>
      <c r="U561" s="249">
        <f t="shared" si="117"/>
        <v>17744.28</v>
      </c>
      <c r="V561" s="249">
        <f t="shared" si="117"/>
        <v>212931.36</v>
      </c>
    </row>
    <row r="562" spans="1:22" ht="45">
      <c r="A562" s="306" t="s">
        <v>1018</v>
      </c>
      <c r="B562" s="306" t="s">
        <v>1019</v>
      </c>
      <c r="C562" s="306" t="s">
        <v>1020</v>
      </c>
      <c r="D562" s="306">
        <v>22969</v>
      </c>
      <c r="E562" s="271" t="s">
        <v>947</v>
      </c>
      <c r="F562" s="306">
        <v>12</v>
      </c>
      <c r="G562" s="306" t="s">
        <v>948</v>
      </c>
      <c r="H562" s="307">
        <v>17744.28</v>
      </c>
      <c r="I562" s="275">
        <f t="shared" si="99"/>
        <v>212931.36</v>
      </c>
      <c r="J562" s="276">
        <v>17744.28</v>
      </c>
      <c r="K562" s="276">
        <v>17744.28</v>
      </c>
      <c r="L562" s="276">
        <v>17744.28</v>
      </c>
      <c r="M562" s="276">
        <v>17744.28</v>
      </c>
      <c r="N562" s="276">
        <v>17744.28</v>
      </c>
      <c r="O562" s="276">
        <v>17744.28</v>
      </c>
      <c r="P562" s="276">
        <v>17744.28</v>
      </c>
      <c r="Q562" s="276">
        <v>17744.28</v>
      </c>
      <c r="R562" s="276">
        <v>17744.28</v>
      </c>
      <c r="S562" s="276">
        <v>17744.28</v>
      </c>
      <c r="T562" s="276">
        <v>17744.28</v>
      </c>
      <c r="U562" s="276">
        <v>17744.28</v>
      </c>
      <c r="V562" s="276">
        <f t="shared" ref="V562:V563" si="118">J562+K562+L562+M562+N562+O562+P562+Q562+R562+S562+T562+U562</f>
        <v>212931.36</v>
      </c>
    </row>
    <row r="563" spans="1:22">
      <c r="A563" s="26"/>
      <c r="B563" s="251"/>
      <c r="C563" s="251"/>
      <c r="D563" s="251"/>
      <c r="E563" s="251"/>
      <c r="F563" s="251"/>
      <c r="G563" s="251"/>
      <c r="H563" s="251"/>
      <c r="I563" s="248">
        <f t="shared" si="99"/>
        <v>0</v>
      </c>
      <c r="J563" s="250"/>
      <c r="K563" s="250"/>
      <c r="L563" s="250"/>
      <c r="M563" s="250"/>
      <c r="N563" s="250"/>
      <c r="O563" s="250"/>
      <c r="P563" s="250"/>
      <c r="Q563" s="250"/>
      <c r="R563" s="250"/>
      <c r="S563" s="250"/>
      <c r="T563" s="250"/>
      <c r="U563" s="250"/>
      <c r="V563" s="250">
        <f t="shared" si="118"/>
        <v>0</v>
      </c>
    </row>
    <row r="564" spans="1:22">
      <c r="A564" s="30" t="s">
        <v>1021</v>
      </c>
      <c r="B564" s="251"/>
      <c r="C564" s="251"/>
      <c r="D564" s="251"/>
      <c r="E564" s="251"/>
      <c r="F564" s="251"/>
      <c r="G564" s="251"/>
      <c r="H564" s="251"/>
      <c r="I564" s="248">
        <f t="shared" si="99"/>
        <v>0</v>
      </c>
      <c r="J564" s="249">
        <f t="shared" ref="J564:V564" si="119">SUM(J565:J565)</f>
        <v>1318.21</v>
      </c>
      <c r="K564" s="249">
        <f t="shared" si="119"/>
        <v>1318.21</v>
      </c>
      <c r="L564" s="249">
        <f t="shared" si="119"/>
        <v>1318.21</v>
      </c>
      <c r="M564" s="249">
        <f t="shared" si="119"/>
        <v>1318.21</v>
      </c>
      <c r="N564" s="249">
        <f t="shared" si="119"/>
        <v>1318.21</v>
      </c>
      <c r="O564" s="249">
        <f t="shared" si="119"/>
        <v>1318.21</v>
      </c>
      <c r="P564" s="249">
        <f t="shared" si="119"/>
        <v>1318.21</v>
      </c>
      <c r="Q564" s="249">
        <f t="shared" si="119"/>
        <v>1318.21</v>
      </c>
      <c r="R564" s="249">
        <f t="shared" si="119"/>
        <v>1318.21</v>
      </c>
      <c r="S564" s="249">
        <f t="shared" si="119"/>
        <v>1318.21</v>
      </c>
      <c r="T564" s="249">
        <f t="shared" si="119"/>
        <v>1318.21</v>
      </c>
      <c r="U564" s="249">
        <f t="shared" si="119"/>
        <v>1318.21</v>
      </c>
      <c r="V564" s="249">
        <f t="shared" si="119"/>
        <v>15818.519999999997</v>
      </c>
    </row>
    <row r="565" spans="1:22" ht="30">
      <c r="A565" s="306" t="s">
        <v>1022</v>
      </c>
      <c r="B565" s="306" t="s">
        <v>1023</v>
      </c>
      <c r="C565" s="306" t="s">
        <v>1024</v>
      </c>
      <c r="D565" s="306">
        <v>26085</v>
      </c>
      <c r="E565" s="271" t="s">
        <v>947</v>
      </c>
      <c r="F565" s="306">
        <v>12</v>
      </c>
      <c r="G565" s="306" t="s">
        <v>948</v>
      </c>
      <c r="H565" s="307">
        <v>1318.21</v>
      </c>
      <c r="I565" s="275">
        <f t="shared" si="99"/>
        <v>15818.52</v>
      </c>
      <c r="J565" s="276">
        <v>1318.21</v>
      </c>
      <c r="K565" s="276">
        <v>1318.21</v>
      </c>
      <c r="L565" s="276">
        <v>1318.21</v>
      </c>
      <c r="M565" s="276">
        <v>1318.21</v>
      </c>
      <c r="N565" s="276">
        <v>1318.21</v>
      </c>
      <c r="O565" s="276">
        <v>1318.21</v>
      </c>
      <c r="P565" s="276">
        <v>1318.21</v>
      </c>
      <c r="Q565" s="276">
        <v>1318.21</v>
      </c>
      <c r="R565" s="276">
        <v>1318.21</v>
      </c>
      <c r="S565" s="276">
        <v>1318.21</v>
      </c>
      <c r="T565" s="276">
        <v>1318.21</v>
      </c>
      <c r="U565" s="276">
        <v>1318.21</v>
      </c>
      <c r="V565" s="276">
        <f t="shared" ref="V565" si="120">J565+K565+L565+M565+N565+O565+P565+Q565+R565+S565+T565+U565</f>
        <v>15818.519999999997</v>
      </c>
    </row>
    <row r="566" spans="1:22">
      <c r="A566" s="30" t="s">
        <v>572</v>
      </c>
      <c r="B566" s="251"/>
      <c r="C566" s="251"/>
      <c r="D566" s="251"/>
      <c r="E566" s="251"/>
      <c r="F566" s="251"/>
      <c r="G566" s="251"/>
      <c r="H566" s="251"/>
      <c r="I566" s="248">
        <f t="shared" si="99"/>
        <v>0</v>
      </c>
      <c r="J566" s="249">
        <f t="shared" ref="J566:V566" si="121">SUM(J567:J567)</f>
        <v>3422.23</v>
      </c>
      <c r="K566" s="249">
        <f t="shared" si="121"/>
        <v>0</v>
      </c>
      <c r="L566" s="249">
        <f t="shared" si="121"/>
        <v>0</v>
      </c>
      <c r="M566" s="249">
        <f t="shared" si="121"/>
        <v>0</v>
      </c>
      <c r="N566" s="249">
        <f t="shared" si="121"/>
        <v>0</v>
      </c>
      <c r="O566" s="249">
        <f t="shared" si="121"/>
        <v>0</v>
      </c>
      <c r="P566" s="249">
        <f t="shared" si="121"/>
        <v>0</v>
      </c>
      <c r="Q566" s="249">
        <f t="shared" si="121"/>
        <v>0</v>
      </c>
      <c r="R566" s="249">
        <f t="shared" si="121"/>
        <v>0</v>
      </c>
      <c r="S566" s="249">
        <f t="shared" si="121"/>
        <v>0</v>
      </c>
      <c r="T566" s="249">
        <f t="shared" si="121"/>
        <v>0</v>
      </c>
      <c r="U566" s="249">
        <f t="shared" si="121"/>
        <v>0</v>
      </c>
      <c r="V566" s="249">
        <f t="shared" si="121"/>
        <v>3422.23</v>
      </c>
    </row>
    <row r="567" spans="1:22" ht="45">
      <c r="A567" s="306" t="s">
        <v>575</v>
      </c>
      <c r="B567" s="306" t="s">
        <v>1025</v>
      </c>
      <c r="C567" s="306" t="s">
        <v>1026</v>
      </c>
      <c r="D567" s="306">
        <v>16195</v>
      </c>
      <c r="E567" s="271" t="s">
        <v>947</v>
      </c>
      <c r="F567" s="306">
        <v>1</v>
      </c>
      <c r="G567" s="306" t="s">
        <v>1027</v>
      </c>
      <c r="H567" s="307">
        <v>3422.23</v>
      </c>
      <c r="I567" s="275">
        <f t="shared" si="99"/>
        <v>3422.23</v>
      </c>
      <c r="J567" s="276">
        <v>3422.23</v>
      </c>
      <c r="K567" s="276">
        <v>0</v>
      </c>
      <c r="L567" s="276">
        <v>0</v>
      </c>
      <c r="M567" s="276">
        <v>0</v>
      </c>
      <c r="N567" s="276">
        <v>0</v>
      </c>
      <c r="O567" s="276">
        <v>0</v>
      </c>
      <c r="P567" s="276">
        <v>0</v>
      </c>
      <c r="Q567" s="276">
        <v>0</v>
      </c>
      <c r="R567" s="276">
        <v>0</v>
      </c>
      <c r="S567" s="276">
        <v>0</v>
      </c>
      <c r="T567" s="276">
        <v>0</v>
      </c>
      <c r="U567" s="276">
        <v>0</v>
      </c>
      <c r="V567" s="276">
        <f>J567+K567+L567+M567+N567+O567+P567+Q567+R567+S567+T567+U567</f>
        <v>3422.23</v>
      </c>
    </row>
    <row r="568" spans="1:22">
      <c r="A568" s="30" t="s">
        <v>576</v>
      </c>
      <c r="B568" s="251"/>
      <c r="C568" s="251"/>
      <c r="D568" s="251"/>
      <c r="E568" s="251"/>
      <c r="F568" s="251"/>
      <c r="G568" s="251"/>
      <c r="H568" s="251"/>
      <c r="I568" s="248">
        <f t="shared" si="99"/>
        <v>0</v>
      </c>
      <c r="J568" s="249">
        <f t="shared" ref="J568:S568" si="122">SUM(J569:J574)</f>
        <v>2288.5500000000002</v>
      </c>
      <c r="K568" s="249">
        <f t="shared" si="122"/>
        <v>103.55</v>
      </c>
      <c r="L568" s="249">
        <f t="shared" si="122"/>
        <v>103.55</v>
      </c>
      <c r="M568" s="249">
        <f t="shared" si="122"/>
        <v>103.55</v>
      </c>
      <c r="N568" s="249">
        <f t="shared" si="122"/>
        <v>103.55</v>
      </c>
      <c r="O568" s="249">
        <f t="shared" si="122"/>
        <v>103.55</v>
      </c>
      <c r="P568" s="249">
        <f t="shared" si="122"/>
        <v>1288.55</v>
      </c>
      <c r="Q568" s="249">
        <f t="shared" si="122"/>
        <v>103.55</v>
      </c>
      <c r="R568" s="249">
        <f t="shared" si="122"/>
        <v>103.55</v>
      </c>
      <c r="S568" s="249">
        <f t="shared" si="122"/>
        <v>103.55</v>
      </c>
      <c r="T568" s="249">
        <f>SUM(T569:T574)</f>
        <v>103.6</v>
      </c>
      <c r="U568" s="249">
        <f>SUM(U569:U574)</f>
        <v>103.6</v>
      </c>
      <c r="V568" s="249">
        <f>SUM(V569:V574)</f>
        <v>4612.7</v>
      </c>
    </row>
    <row r="569" spans="1:22" ht="75">
      <c r="A569" s="269" t="s">
        <v>1028</v>
      </c>
      <c r="B569" s="306" t="s">
        <v>1029</v>
      </c>
      <c r="C569" s="306" t="s">
        <v>1030</v>
      </c>
      <c r="D569" s="251"/>
      <c r="E569" s="271" t="s">
        <v>947</v>
      </c>
      <c r="F569" s="306">
        <v>15</v>
      </c>
      <c r="G569" s="306" t="s">
        <v>1027</v>
      </c>
      <c r="H569" s="312">
        <v>58</v>
      </c>
      <c r="I569" s="275">
        <f t="shared" si="99"/>
        <v>870</v>
      </c>
      <c r="J569" s="276">
        <v>435</v>
      </c>
      <c r="K569" s="276">
        <v>0</v>
      </c>
      <c r="L569" s="276">
        <v>0</v>
      </c>
      <c r="M569" s="276">
        <v>0</v>
      </c>
      <c r="N569" s="276">
        <v>0</v>
      </c>
      <c r="O569" s="276">
        <v>0</v>
      </c>
      <c r="P569" s="276">
        <v>435</v>
      </c>
      <c r="Q569" s="276">
        <v>0</v>
      </c>
      <c r="R569" s="276">
        <v>0</v>
      </c>
      <c r="S569" s="276">
        <v>0</v>
      </c>
      <c r="T569" s="276">
        <v>0</v>
      </c>
      <c r="U569" s="276">
        <v>0</v>
      </c>
      <c r="V569" s="276">
        <f>J569+K569+L569+M569+N569+O569+P569+Q569+R569+S569+T569+U569</f>
        <v>870</v>
      </c>
    </row>
    <row r="570" spans="1:22" ht="105">
      <c r="A570" s="269" t="s">
        <v>1031</v>
      </c>
      <c r="B570" s="306" t="s">
        <v>1032</v>
      </c>
      <c r="C570" s="306" t="s">
        <v>1033</v>
      </c>
      <c r="D570" s="251"/>
      <c r="E570" s="271" t="s">
        <v>1034</v>
      </c>
      <c r="F570" s="306">
        <v>250</v>
      </c>
      <c r="G570" s="306" t="s">
        <v>1027</v>
      </c>
      <c r="H570" s="312">
        <v>6</v>
      </c>
      <c r="I570" s="275">
        <f t="shared" ref="I570:I612" si="123">F570*H570</f>
        <v>1500</v>
      </c>
      <c r="J570" s="276">
        <v>750</v>
      </c>
      <c r="K570" s="276">
        <v>0</v>
      </c>
      <c r="L570" s="276">
        <v>0</v>
      </c>
      <c r="M570" s="276">
        <v>0</v>
      </c>
      <c r="N570" s="276">
        <v>0</v>
      </c>
      <c r="O570" s="276">
        <v>0</v>
      </c>
      <c r="P570" s="276">
        <v>750</v>
      </c>
      <c r="Q570" s="276">
        <v>0</v>
      </c>
      <c r="R570" s="276">
        <v>0</v>
      </c>
      <c r="S570" s="276">
        <v>0</v>
      </c>
      <c r="T570" s="276">
        <v>0</v>
      </c>
      <c r="U570" s="276">
        <v>0</v>
      </c>
      <c r="V570" s="276">
        <f t="shared" ref="V570:V574" si="124">J570+K570+L570+M570+N570+O570+P570+Q570+R570+S570+T570+U570</f>
        <v>1500</v>
      </c>
    </row>
    <row r="571" spans="1:22" ht="180">
      <c r="A571" s="269" t="s">
        <v>1035</v>
      </c>
      <c r="B571" s="306" t="s">
        <v>1036</v>
      </c>
      <c r="C571" s="306" t="s">
        <v>1037</v>
      </c>
      <c r="D571" s="251"/>
      <c r="E571" s="271" t="s">
        <v>1038</v>
      </c>
      <c r="F571" s="306">
        <v>1</v>
      </c>
      <c r="G571" s="306" t="s">
        <v>1027</v>
      </c>
      <c r="H571" s="307">
        <v>1000</v>
      </c>
      <c r="I571" s="275">
        <f t="shared" si="123"/>
        <v>1000</v>
      </c>
      <c r="J571" s="276">
        <v>1000</v>
      </c>
      <c r="K571" s="276">
        <v>0</v>
      </c>
      <c r="L571" s="276">
        <v>0</v>
      </c>
      <c r="M571" s="276">
        <v>0</v>
      </c>
      <c r="N571" s="276">
        <v>0</v>
      </c>
      <c r="O571" s="276">
        <v>0</v>
      </c>
      <c r="P571" s="276">
        <v>0</v>
      </c>
      <c r="Q571" s="276">
        <v>0</v>
      </c>
      <c r="R571" s="276">
        <v>0</v>
      </c>
      <c r="S571" s="276">
        <v>0</v>
      </c>
      <c r="T571" s="276">
        <v>0</v>
      </c>
      <c r="U571" s="276">
        <v>0</v>
      </c>
      <c r="V571" s="276">
        <f t="shared" si="124"/>
        <v>1000</v>
      </c>
    </row>
    <row r="572" spans="1:22" ht="30">
      <c r="A572" s="269" t="s">
        <v>579</v>
      </c>
      <c r="B572" s="306" t="s">
        <v>1039</v>
      </c>
      <c r="C572" s="306" t="s">
        <v>1040</v>
      </c>
      <c r="D572" s="306">
        <v>16195</v>
      </c>
      <c r="E572" s="271" t="s">
        <v>947</v>
      </c>
      <c r="F572" s="306">
        <v>1</v>
      </c>
      <c r="G572" s="306" t="s">
        <v>1027</v>
      </c>
      <c r="H572" s="307">
        <v>1242.71</v>
      </c>
      <c r="I572" s="275">
        <f t="shared" si="123"/>
        <v>1242.71</v>
      </c>
      <c r="J572" s="276">
        <v>103.55</v>
      </c>
      <c r="K572" s="276">
        <v>103.55</v>
      </c>
      <c r="L572" s="276">
        <v>103.55</v>
      </c>
      <c r="M572" s="276">
        <v>103.55</v>
      </c>
      <c r="N572" s="276">
        <v>103.55</v>
      </c>
      <c r="O572" s="276">
        <v>103.55</v>
      </c>
      <c r="P572" s="276">
        <v>103.55</v>
      </c>
      <c r="Q572" s="276">
        <v>103.55</v>
      </c>
      <c r="R572" s="276">
        <v>103.55</v>
      </c>
      <c r="S572" s="276">
        <v>103.55</v>
      </c>
      <c r="T572" s="276">
        <v>103.6</v>
      </c>
      <c r="U572" s="276">
        <v>103.6</v>
      </c>
      <c r="V572" s="276">
        <f>J572+K572+L572+M572+N572+O572+P572+Q572+R572+S572+T572+U572</f>
        <v>1242.6999999999996</v>
      </c>
    </row>
    <row r="573" spans="1:22">
      <c r="A573" s="26" t="s">
        <v>1041</v>
      </c>
      <c r="B573" s="251"/>
      <c r="C573" s="251"/>
      <c r="D573" s="251"/>
      <c r="E573" s="251"/>
      <c r="F573" s="251"/>
      <c r="G573" s="251"/>
      <c r="H573" s="251"/>
      <c r="I573" s="248">
        <f t="shared" si="123"/>
        <v>0</v>
      </c>
      <c r="J573" s="250"/>
      <c r="K573" s="250"/>
      <c r="L573" s="250"/>
      <c r="M573" s="250"/>
      <c r="N573" s="250"/>
      <c r="O573" s="250"/>
      <c r="P573" s="250"/>
      <c r="Q573" s="250"/>
      <c r="R573" s="250"/>
      <c r="S573" s="250"/>
      <c r="T573" s="250"/>
      <c r="U573" s="250"/>
      <c r="V573" s="250">
        <f t="shared" si="124"/>
        <v>0</v>
      </c>
    </row>
    <row r="574" spans="1:22">
      <c r="A574" s="26"/>
      <c r="B574" s="251"/>
      <c r="C574" s="251"/>
      <c r="D574" s="251"/>
      <c r="E574" s="251"/>
      <c r="F574" s="251"/>
      <c r="G574" s="251"/>
      <c r="H574" s="251"/>
      <c r="I574" s="248">
        <f t="shared" si="123"/>
        <v>0</v>
      </c>
      <c r="J574" s="250"/>
      <c r="K574" s="250"/>
      <c r="L574" s="250"/>
      <c r="M574" s="250"/>
      <c r="N574" s="250"/>
      <c r="O574" s="250"/>
      <c r="P574" s="250"/>
      <c r="Q574" s="250"/>
      <c r="R574" s="250"/>
      <c r="S574" s="250"/>
      <c r="T574" s="250"/>
      <c r="U574" s="250"/>
      <c r="V574" s="250">
        <f t="shared" si="124"/>
        <v>0</v>
      </c>
    </row>
    <row r="575" spans="1:22">
      <c r="A575" s="28" t="s">
        <v>1042</v>
      </c>
      <c r="B575" s="251"/>
      <c r="C575" s="251"/>
      <c r="D575" s="251"/>
      <c r="E575" s="251"/>
      <c r="F575" s="251"/>
      <c r="G575" s="251"/>
      <c r="H575" s="251"/>
      <c r="I575" s="248">
        <f t="shared" si="123"/>
        <v>0</v>
      </c>
      <c r="J575" s="248">
        <f t="shared" ref="J575:V575" si="125">SUM(J576:J576)</f>
        <v>0</v>
      </c>
      <c r="K575" s="248">
        <f t="shared" si="125"/>
        <v>0</v>
      </c>
      <c r="L575" s="248">
        <f t="shared" si="125"/>
        <v>0</v>
      </c>
      <c r="M575" s="248">
        <f t="shared" si="125"/>
        <v>0</v>
      </c>
      <c r="N575" s="248">
        <f t="shared" si="125"/>
        <v>0</v>
      </c>
      <c r="O575" s="248">
        <f t="shared" si="125"/>
        <v>0</v>
      </c>
      <c r="P575" s="248">
        <f t="shared" si="125"/>
        <v>0</v>
      </c>
      <c r="Q575" s="248">
        <f t="shared" si="125"/>
        <v>0</v>
      </c>
      <c r="R575" s="248">
        <f t="shared" si="125"/>
        <v>0</v>
      </c>
      <c r="S575" s="248">
        <f t="shared" si="125"/>
        <v>0</v>
      </c>
      <c r="T575" s="248">
        <f t="shared" si="125"/>
        <v>0</v>
      </c>
      <c r="U575" s="248">
        <f t="shared" si="125"/>
        <v>0</v>
      </c>
      <c r="V575" s="248">
        <f t="shared" si="125"/>
        <v>0</v>
      </c>
    </row>
    <row r="576" spans="1:22" ht="30">
      <c r="A576" s="26" t="s">
        <v>1043</v>
      </c>
      <c r="B576" s="26"/>
      <c r="C576" s="26"/>
      <c r="D576" s="26"/>
      <c r="E576" s="26"/>
      <c r="F576" s="26"/>
      <c r="G576" s="26"/>
      <c r="H576" s="26"/>
      <c r="I576" s="315">
        <f t="shared" si="123"/>
        <v>0</v>
      </c>
      <c r="J576" s="250"/>
      <c r="K576" s="250"/>
      <c r="L576" s="250"/>
      <c r="M576" s="250"/>
      <c r="N576" s="250"/>
      <c r="O576" s="250"/>
      <c r="P576" s="250"/>
      <c r="Q576" s="250"/>
      <c r="R576" s="250"/>
      <c r="S576" s="250"/>
      <c r="T576" s="250"/>
      <c r="U576" s="250"/>
      <c r="V576" s="250">
        <f>J576+K576+L576+M576+N576+O576+P576+Q576+R576+S576+T576+U576</f>
        <v>0</v>
      </c>
    </row>
    <row r="577" spans="1:22">
      <c r="A577" s="28" t="s">
        <v>511</v>
      </c>
      <c r="B577" s="28"/>
      <c r="C577" s="28"/>
      <c r="D577" s="28"/>
      <c r="E577" s="28"/>
      <c r="F577" s="28"/>
      <c r="G577" s="28"/>
      <c r="H577" s="28"/>
      <c r="I577" s="316">
        <f t="shared" si="123"/>
        <v>0</v>
      </c>
      <c r="J577" s="248">
        <f t="shared" ref="J577:U577" si="126">J578+J583+J608</f>
        <v>0</v>
      </c>
      <c r="K577" s="248">
        <f t="shared" si="126"/>
        <v>0</v>
      </c>
      <c r="L577" s="248">
        <f t="shared" si="126"/>
        <v>0</v>
      </c>
      <c r="M577" s="248">
        <f t="shared" si="126"/>
        <v>0</v>
      </c>
      <c r="N577" s="248">
        <f t="shared" si="126"/>
        <v>12300</v>
      </c>
      <c r="O577" s="248">
        <f t="shared" si="126"/>
        <v>0</v>
      </c>
      <c r="P577" s="248">
        <f t="shared" si="126"/>
        <v>0</v>
      </c>
      <c r="Q577" s="248">
        <f t="shared" si="126"/>
        <v>0</v>
      </c>
      <c r="R577" s="248">
        <f t="shared" si="126"/>
        <v>0</v>
      </c>
      <c r="S577" s="248">
        <f t="shared" si="126"/>
        <v>0</v>
      </c>
      <c r="T577" s="248">
        <f t="shared" si="126"/>
        <v>0</v>
      </c>
      <c r="U577" s="248">
        <f t="shared" si="126"/>
        <v>0</v>
      </c>
      <c r="V577" s="248">
        <f>SUM(J577:U577)</f>
        <v>12300</v>
      </c>
    </row>
    <row r="578" spans="1:22">
      <c r="A578" s="28" t="s">
        <v>512</v>
      </c>
      <c r="B578" s="251"/>
      <c r="C578" s="251"/>
      <c r="D578" s="251"/>
      <c r="E578" s="251"/>
      <c r="F578" s="251"/>
      <c r="G578" s="251"/>
      <c r="H578" s="251"/>
      <c r="I578" s="248">
        <f t="shared" si="123"/>
        <v>0</v>
      </c>
      <c r="J578" s="248">
        <f>SUM(J579:J582)</f>
        <v>0</v>
      </c>
      <c r="K578" s="248">
        <f t="shared" ref="K578:U578" si="127">SUM(K579:K582)</f>
        <v>0</v>
      </c>
      <c r="L578" s="248">
        <f t="shared" si="127"/>
        <v>0</v>
      </c>
      <c r="M578" s="248">
        <f t="shared" si="127"/>
        <v>0</v>
      </c>
      <c r="N578" s="248">
        <f t="shared" si="127"/>
        <v>0</v>
      </c>
      <c r="O578" s="248">
        <f t="shared" si="127"/>
        <v>0</v>
      </c>
      <c r="P578" s="248">
        <f t="shared" si="127"/>
        <v>0</v>
      </c>
      <c r="Q578" s="248">
        <f t="shared" si="127"/>
        <v>0</v>
      </c>
      <c r="R578" s="248">
        <f t="shared" si="127"/>
        <v>0</v>
      </c>
      <c r="S578" s="248">
        <f t="shared" si="127"/>
        <v>0</v>
      </c>
      <c r="T578" s="248">
        <f t="shared" si="127"/>
        <v>0</v>
      </c>
      <c r="U578" s="248">
        <f t="shared" si="127"/>
        <v>0</v>
      </c>
      <c r="V578" s="248">
        <f>SUM(J578:U578)</f>
        <v>0</v>
      </c>
    </row>
    <row r="579" spans="1:22">
      <c r="A579" s="30" t="s">
        <v>513</v>
      </c>
      <c r="B579" s="251"/>
      <c r="C579" s="251"/>
      <c r="D579" s="251"/>
      <c r="E579" s="251"/>
      <c r="F579" s="251"/>
      <c r="G579" s="251"/>
      <c r="H579" s="251"/>
      <c r="I579" s="248">
        <f t="shared" si="123"/>
        <v>0</v>
      </c>
      <c r="J579" s="249"/>
      <c r="K579" s="249"/>
      <c r="L579" s="249"/>
      <c r="M579" s="249"/>
      <c r="N579" s="249"/>
      <c r="O579" s="249"/>
      <c r="P579" s="249"/>
      <c r="Q579" s="249"/>
      <c r="R579" s="249"/>
      <c r="S579" s="249"/>
      <c r="T579" s="249"/>
      <c r="U579" s="249"/>
      <c r="V579" s="249">
        <f>J579+K579+L579+M579+N579+O579+P579+Q579+R579+S579+T579+U579</f>
        <v>0</v>
      </c>
    </row>
    <row r="580" spans="1:22">
      <c r="A580" s="30" t="s">
        <v>514</v>
      </c>
      <c r="B580" s="251"/>
      <c r="C580" s="251"/>
      <c r="D580" s="251"/>
      <c r="E580" s="251"/>
      <c r="F580" s="251"/>
      <c r="G580" s="251"/>
      <c r="H580" s="251"/>
      <c r="I580" s="248">
        <f t="shared" si="123"/>
        <v>0</v>
      </c>
      <c r="J580" s="249"/>
      <c r="K580" s="249"/>
      <c r="L580" s="249"/>
      <c r="M580" s="249"/>
      <c r="N580" s="249"/>
      <c r="O580" s="249"/>
      <c r="P580" s="249"/>
      <c r="Q580" s="249"/>
      <c r="R580" s="249"/>
      <c r="S580" s="249"/>
      <c r="T580" s="249"/>
      <c r="U580" s="249"/>
      <c r="V580" s="249">
        <f>J580+K580+L580+M580+N580+O580+P580+Q580+R580+S580+T580+U580</f>
        <v>0</v>
      </c>
    </row>
    <row r="581" spans="1:22">
      <c r="A581" s="30" t="s">
        <v>515</v>
      </c>
      <c r="B581" s="251"/>
      <c r="C581" s="251"/>
      <c r="D581" s="251"/>
      <c r="E581" s="251"/>
      <c r="F581" s="251"/>
      <c r="G581" s="251"/>
      <c r="H581" s="251"/>
      <c r="I581" s="248">
        <f t="shared" si="123"/>
        <v>0</v>
      </c>
      <c r="J581" s="249"/>
      <c r="K581" s="249"/>
      <c r="L581" s="249"/>
      <c r="M581" s="249"/>
      <c r="N581" s="249"/>
      <c r="O581" s="249"/>
      <c r="P581" s="249"/>
      <c r="Q581" s="249"/>
      <c r="R581" s="249"/>
      <c r="S581" s="249"/>
      <c r="T581" s="249"/>
      <c r="U581" s="249"/>
      <c r="V581" s="249">
        <f>J581+K581+L581+M581+N581+O581+P581+Q581+R581+S581+T581+U581</f>
        <v>0</v>
      </c>
    </row>
    <row r="582" spans="1:22">
      <c r="A582" s="30" t="s">
        <v>516</v>
      </c>
      <c r="B582" s="251"/>
      <c r="C582" s="251"/>
      <c r="D582" s="251"/>
      <c r="E582" s="251"/>
      <c r="F582" s="251"/>
      <c r="G582" s="251"/>
      <c r="H582" s="251"/>
      <c r="I582" s="248">
        <f t="shared" si="123"/>
        <v>0</v>
      </c>
      <c r="J582" s="249"/>
      <c r="K582" s="249"/>
      <c r="L582" s="249"/>
      <c r="M582" s="249"/>
      <c r="N582" s="249"/>
      <c r="O582" s="249"/>
      <c r="P582" s="249"/>
      <c r="Q582" s="249"/>
      <c r="R582" s="249"/>
      <c r="S582" s="249"/>
      <c r="T582" s="249"/>
      <c r="U582" s="249"/>
      <c r="V582" s="249">
        <f>J582+K582+L582+M582+N582+O582+P582+Q582+R582+S582+T582+U582</f>
        <v>0</v>
      </c>
    </row>
    <row r="583" spans="1:22">
      <c r="A583" s="28" t="s">
        <v>517</v>
      </c>
      <c r="B583" s="251"/>
      <c r="C583" s="251"/>
      <c r="D583" s="251"/>
      <c r="E583" s="251"/>
      <c r="F583" s="251"/>
      <c r="G583" s="251"/>
      <c r="H583" s="251"/>
      <c r="I583" s="248">
        <f t="shared" si="123"/>
        <v>0</v>
      </c>
      <c r="J583" s="248">
        <f t="shared" ref="J583:U583" si="128">J584+J587+J589+J590+J593+J597+J601+J602+J605+J606+J607</f>
        <v>0</v>
      </c>
      <c r="K583" s="248">
        <f t="shared" si="128"/>
        <v>0</v>
      </c>
      <c r="L583" s="248">
        <f t="shared" si="128"/>
        <v>0</v>
      </c>
      <c r="M583" s="248">
        <f t="shared" si="128"/>
        <v>0</v>
      </c>
      <c r="N583" s="248">
        <f t="shared" si="128"/>
        <v>12300</v>
      </c>
      <c r="O583" s="248">
        <f t="shared" si="128"/>
        <v>0</v>
      </c>
      <c r="P583" s="248">
        <f t="shared" si="128"/>
        <v>0</v>
      </c>
      <c r="Q583" s="248">
        <f t="shared" si="128"/>
        <v>0</v>
      </c>
      <c r="R583" s="248">
        <f t="shared" si="128"/>
        <v>0</v>
      </c>
      <c r="S583" s="248">
        <f t="shared" si="128"/>
        <v>0</v>
      </c>
      <c r="T583" s="248">
        <f t="shared" si="128"/>
        <v>0</v>
      </c>
      <c r="U583" s="248">
        <f t="shared" si="128"/>
        <v>0</v>
      </c>
      <c r="V583" s="248">
        <f>SUM(J583:U583)</f>
        <v>12300</v>
      </c>
    </row>
    <row r="584" spans="1:22">
      <c r="A584" s="30" t="s">
        <v>518</v>
      </c>
      <c r="B584" s="251"/>
      <c r="C584" s="251"/>
      <c r="D584" s="251"/>
      <c r="E584" s="251"/>
      <c r="F584" s="251"/>
      <c r="G584" s="251"/>
      <c r="H584" s="251"/>
      <c r="I584" s="248">
        <f t="shared" si="123"/>
        <v>0</v>
      </c>
      <c r="J584" s="249">
        <f>SUM(J585:J586)</f>
        <v>0</v>
      </c>
      <c r="K584" s="249">
        <f t="shared" ref="K584:V584" si="129">SUM(K585:K586)</f>
        <v>0</v>
      </c>
      <c r="L584" s="249">
        <f t="shared" si="129"/>
        <v>0</v>
      </c>
      <c r="M584" s="249">
        <f t="shared" si="129"/>
        <v>0</v>
      </c>
      <c r="N584" s="249">
        <f t="shared" si="129"/>
        <v>0</v>
      </c>
      <c r="O584" s="249">
        <f t="shared" si="129"/>
        <v>0</v>
      </c>
      <c r="P584" s="249">
        <f t="shared" si="129"/>
        <v>0</v>
      </c>
      <c r="Q584" s="249">
        <f t="shared" si="129"/>
        <v>0</v>
      </c>
      <c r="R584" s="249">
        <f t="shared" si="129"/>
        <v>0</v>
      </c>
      <c r="S584" s="249">
        <f t="shared" si="129"/>
        <v>0</v>
      </c>
      <c r="T584" s="249">
        <f t="shared" si="129"/>
        <v>0</v>
      </c>
      <c r="U584" s="249">
        <f t="shared" si="129"/>
        <v>0</v>
      </c>
      <c r="V584" s="249">
        <f t="shared" si="129"/>
        <v>0</v>
      </c>
    </row>
    <row r="585" spans="1:22">
      <c r="A585" s="26" t="s">
        <v>1044</v>
      </c>
      <c r="B585" s="251"/>
      <c r="C585" s="251"/>
      <c r="D585" s="251"/>
      <c r="E585" s="251"/>
      <c r="F585" s="251"/>
      <c r="G585" s="251"/>
      <c r="H585" s="251"/>
      <c r="I585" s="248">
        <f t="shared" si="123"/>
        <v>0</v>
      </c>
      <c r="J585" s="250"/>
      <c r="K585" s="250"/>
      <c r="L585" s="250"/>
      <c r="M585" s="250"/>
      <c r="N585" s="250"/>
      <c r="O585" s="250"/>
      <c r="P585" s="250"/>
      <c r="Q585" s="250"/>
      <c r="R585" s="250"/>
      <c r="S585" s="250"/>
      <c r="T585" s="250"/>
      <c r="U585" s="250"/>
      <c r="V585" s="250">
        <f t="shared" ref="V585:V586" si="130">J585+K585+L585+M585+N585+O585+P585+Q585+R585+S585+T585+U585</f>
        <v>0</v>
      </c>
    </row>
    <row r="586" spans="1:22">
      <c r="A586" s="269"/>
      <c r="B586" s="299"/>
      <c r="C586" s="251"/>
      <c r="D586" s="299"/>
      <c r="E586" s="299"/>
      <c r="F586" s="299"/>
      <c r="G586" s="299"/>
      <c r="H586" s="317"/>
      <c r="I586" s="275">
        <f t="shared" si="123"/>
        <v>0</v>
      </c>
      <c r="J586" s="276"/>
      <c r="K586" s="276"/>
      <c r="L586" s="276"/>
      <c r="M586" s="276"/>
      <c r="N586" s="276"/>
      <c r="O586" s="276"/>
      <c r="P586" s="276"/>
      <c r="Q586" s="276"/>
      <c r="R586" s="276"/>
      <c r="S586" s="276"/>
      <c r="T586" s="276"/>
      <c r="U586" s="276"/>
      <c r="V586" s="276">
        <f t="shared" si="130"/>
        <v>0</v>
      </c>
    </row>
    <row r="587" spans="1:22">
      <c r="A587" s="30" t="s">
        <v>582</v>
      </c>
      <c r="B587" s="251"/>
      <c r="C587" s="251"/>
      <c r="D587" s="251"/>
      <c r="E587" s="251"/>
      <c r="F587" s="251"/>
      <c r="G587" s="251"/>
      <c r="H587" s="251"/>
      <c r="I587" s="248">
        <f t="shared" si="123"/>
        <v>0</v>
      </c>
      <c r="J587" s="249">
        <f t="shared" ref="J587:V587" si="131">J588</f>
        <v>0</v>
      </c>
      <c r="K587" s="249">
        <f t="shared" si="131"/>
        <v>0</v>
      </c>
      <c r="L587" s="249">
        <f t="shared" si="131"/>
        <v>0</v>
      </c>
      <c r="M587" s="249">
        <f t="shared" si="131"/>
        <v>0</v>
      </c>
      <c r="N587" s="249">
        <f t="shared" si="131"/>
        <v>0</v>
      </c>
      <c r="O587" s="249">
        <f t="shared" si="131"/>
        <v>0</v>
      </c>
      <c r="P587" s="249">
        <f t="shared" si="131"/>
        <v>0</v>
      </c>
      <c r="Q587" s="249">
        <f t="shared" si="131"/>
        <v>0</v>
      </c>
      <c r="R587" s="249">
        <f t="shared" si="131"/>
        <v>0</v>
      </c>
      <c r="S587" s="249">
        <f t="shared" si="131"/>
        <v>0</v>
      </c>
      <c r="T587" s="249">
        <f t="shared" si="131"/>
        <v>0</v>
      </c>
      <c r="U587" s="249">
        <f t="shared" si="131"/>
        <v>0</v>
      </c>
      <c r="V587" s="249">
        <f t="shared" si="131"/>
        <v>0</v>
      </c>
    </row>
    <row r="588" spans="1:22">
      <c r="A588" s="26" t="s">
        <v>1044</v>
      </c>
      <c r="B588" s="251"/>
      <c r="C588" s="251"/>
      <c r="D588" s="251"/>
      <c r="E588" s="251"/>
      <c r="F588" s="251"/>
      <c r="G588" s="251"/>
      <c r="H588" s="251"/>
      <c r="I588" s="248">
        <f t="shared" si="123"/>
        <v>0</v>
      </c>
      <c r="J588" s="250"/>
      <c r="K588" s="250"/>
      <c r="L588" s="250"/>
      <c r="M588" s="250"/>
      <c r="N588" s="250"/>
      <c r="O588" s="250"/>
      <c r="P588" s="250"/>
      <c r="Q588" s="250"/>
      <c r="R588" s="250"/>
      <c r="S588" s="250"/>
      <c r="T588" s="250"/>
      <c r="U588" s="250"/>
      <c r="V588" s="250">
        <f t="shared" ref="V588" si="132">J588+K588+L588+M588+N588+O588+P588+Q588+R588+S588+T588+U588</f>
        <v>0</v>
      </c>
    </row>
    <row r="589" spans="1:22">
      <c r="A589" s="30" t="s">
        <v>583</v>
      </c>
      <c r="B589" s="251"/>
      <c r="C589" s="251"/>
      <c r="D589" s="251"/>
      <c r="E589" s="251"/>
      <c r="F589" s="251"/>
      <c r="G589" s="251"/>
      <c r="H589" s="251"/>
      <c r="I589" s="248">
        <f t="shared" si="123"/>
        <v>0</v>
      </c>
      <c r="J589" s="249">
        <v>0</v>
      </c>
      <c r="K589" s="249">
        <v>0</v>
      </c>
      <c r="L589" s="249">
        <v>0</v>
      </c>
      <c r="M589" s="249">
        <v>0</v>
      </c>
      <c r="N589" s="249">
        <v>0</v>
      </c>
      <c r="O589" s="249">
        <v>0</v>
      </c>
      <c r="P589" s="249">
        <v>0</v>
      </c>
      <c r="Q589" s="249">
        <v>0</v>
      </c>
      <c r="R589" s="249">
        <v>0</v>
      </c>
      <c r="S589" s="249">
        <v>0</v>
      </c>
      <c r="T589" s="249">
        <v>0</v>
      </c>
      <c r="U589" s="249">
        <v>0</v>
      </c>
      <c r="V589" s="249">
        <f>SUM(J589:U589)</f>
        <v>0</v>
      </c>
    </row>
    <row r="590" spans="1:22">
      <c r="A590" s="30" t="s">
        <v>521</v>
      </c>
      <c r="B590" s="251"/>
      <c r="C590" s="251"/>
      <c r="D590" s="251"/>
      <c r="E590" s="251"/>
      <c r="F590" s="251"/>
      <c r="G590" s="251"/>
      <c r="H590" s="251"/>
      <c r="I590" s="248">
        <f t="shared" si="123"/>
        <v>0</v>
      </c>
      <c r="J590" s="249">
        <f>SUM(J591:J592)</f>
        <v>0</v>
      </c>
      <c r="K590" s="249">
        <f t="shared" ref="K590:U590" si="133">SUM(K591:K592)</f>
        <v>0</v>
      </c>
      <c r="L590" s="249">
        <f t="shared" si="133"/>
        <v>0</v>
      </c>
      <c r="M590" s="249">
        <f t="shared" si="133"/>
        <v>0</v>
      </c>
      <c r="N590" s="249">
        <f t="shared" si="133"/>
        <v>0</v>
      </c>
      <c r="O590" s="249">
        <f t="shared" si="133"/>
        <v>0</v>
      </c>
      <c r="P590" s="249">
        <f t="shared" si="133"/>
        <v>0</v>
      </c>
      <c r="Q590" s="249">
        <f t="shared" si="133"/>
        <v>0</v>
      </c>
      <c r="R590" s="249">
        <f t="shared" si="133"/>
        <v>0</v>
      </c>
      <c r="S590" s="249">
        <f t="shared" si="133"/>
        <v>0</v>
      </c>
      <c r="T590" s="249">
        <f t="shared" si="133"/>
        <v>0</v>
      </c>
      <c r="U590" s="249">
        <f t="shared" si="133"/>
        <v>0</v>
      </c>
      <c r="V590" s="249">
        <f>SUM(V591:V592)</f>
        <v>0</v>
      </c>
    </row>
    <row r="591" spans="1:22">
      <c r="A591" s="318" t="s">
        <v>1045</v>
      </c>
      <c r="B591" s="251"/>
      <c r="C591" s="251"/>
      <c r="D591" s="251"/>
      <c r="E591" s="251"/>
      <c r="F591" s="251"/>
      <c r="G591" s="251"/>
      <c r="H591" s="251"/>
      <c r="I591" s="248">
        <f t="shared" si="123"/>
        <v>0</v>
      </c>
      <c r="J591" s="250"/>
      <c r="K591" s="250"/>
      <c r="L591" s="250"/>
      <c r="M591" s="250"/>
      <c r="N591" s="250"/>
      <c r="O591" s="250"/>
      <c r="P591" s="250"/>
      <c r="Q591" s="250"/>
      <c r="R591" s="250"/>
      <c r="S591" s="250"/>
      <c r="T591" s="250"/>
      <c r="U591" s="250"/>
      <c r="V591" s="250">
        <f>SUM(J591:U591)</f>
        <v>0</v>
      </c>
    </row>
    <row r="592" spans="1:22">
      <c r="A592" s="26"/>
      <c r="B592" s="251"/>
      <c r="C592" s="251"/>
      <c r="D592" s="251"/>
      <c r="E592" s="251"/>
      <c r="F592" s="251"/>
      <c r="G592" s="251"/>
      <c r="H592" s="251"/>
      <c r="I592" s="248">
        <f t="shared" si="123"/>
        <v>0</v>
      </c>
      <c r="J592" s="250"/>
      <c r="K592" s="250"/>
      <c r="L592" s="250"/>
      <c r="M592" s="250"/>
      <c r="N592" s="250"/>
      <c r="O592" s="250"/>
      <c r="P592" s="250"/>
      <c r="Q592" s="250"/>
      <c r="R592" s="250"/>
      <c r="S592" s="250"/>
      <c r="T592" s="250"/>
      <c r="U592" s="250"/>
      <c r="V592" s="250">
        <f>SUM(J592:U592)</f>
        <v>0</v>
      </c>
    </row>
    <row r="593" spans="1:22">
      <c r="A593" s="30" t="s">
        <v>535</v>
      </c>
      <c r="B593" s="251"/>
      <c r="C593" s="251"/>
      <c r="D593" s="251"/>
      <c r="E593" s="251"/>
      <c r="F593" s="251"/>
      <c r="G593" s="251"/>
      <c r="H593" s="251"/>
      <c r="I593" s="248">
        <f t="shared" si="123"/>
        <v>0</v>
      </c>
      <c r="J593" s="249">
        <f t="shared" ref="J593:V593" si="134">SUM(J594:J596)</f>
        <v>0</v>
      </c>
      <c r="K593" s="249">
        <f t="shared" si="134"/>
        <v>0</v>
      </c>
      <c r="L593" s="249">
        <f t="shared" si="134"/>
        <v>0</v>
      </c>
      <c r="M593" s="249">
        <f t="shared" si="134"/>
        <v>0</v>
      </c>
      <c r="N593" s="249">
        <f t="shared" si="134"/>
        <v>12300</v>
      </c>
      <c r="O593" s="249">
        <f t="shared" si="134"/>
        <v>0</v>
      </c>
      <c r="P593" s="249">
        <f t="shared" si="134"/>
        <v>0</v>
      </c>
      <c r="Q593" s="249">
        <f t="shared" si="134"/>
        <v>0</v>
      </c>
      <c r="R593" s="249">
        <f t="shared" si="134"/>
        <v>0</v>
      </c>
      <c r="S593" s="249">
        <f t="shared" si="134"/>
        <v>0</v>
      </c>
      <c r="T593" s="249">
        <f t="shared" si="134"/>
        <v>0</v>
      </c>
      <c r="U593" s="249">
        <f t="shared" si="134"/>
        <v>0</v>
      </c>
      <c r="V593" s="249">
        <f t="shared" si="134"/>
        <v>12300</v>
      </c>
    </row>
    <row r="594" spans="1:22" ht="60">
      <c r="A594" s="269" t="s">
        <v>1046</v>
      </c>
      <c r="B594" s="306" t="s">
        <v>1047</v>
      </c>
      <c r="C594" s="306" t="s">
        <v>1048</v>
      </c>
      <c r="D594" s="306">
        <v>353150</v>
      </c>
      <c r="E594" s="271" t="s">
        <v>947</v>
      </c>
      <c r="F594" s="306">
        <v>1</v>
      </c>
      <c r="G594" s="306" t="s">
        <v>1049</v>
      </c>
      <c r="H594" s="307">
        <v>12300</v>
      </c>
      <c r="I594" s="319">
        <f t="shared" si="123"/>
        <v>12300</v>
      </c>
      <c r="J594" s="276">
        <v>0</v>
      </c>
      <c r="K594" s="276">
        <v>0</v>
      </c>
      <c r="L594" s="276">
        <v>0</v>
      </c>
      <c r="M594" s="276">
        <v>0</v>
      </c>
      <c r="N594" s="276">
        <v>12300</v>
      </c>
      <c r="O594" s="276">
        <v>0</v>
      </c>
      <c r="P594" s="276">
        <v>0</v>
      </c>
      <c r="Q594" s="276">
        <v>0</v>
      </c>
      <c r="R594" s="276">
        <v>0</v>
      </c>
      <c r="S594" s="276">
        <v>0</v>
      </c>
      <c r="T594" s="276">
        <v>0</v>
      </c>
      <c r="U594" s="276">
        <v>0</v>
      </c>
      <c r="V594" s="276">
        <f>J594+K594+L594+M594+N594+O594+P594+Q594+R594+S594+T594+U594</f>
        <v>12300</v>
      </c>
    </row>
    <row r="595" spans="1:22">
      <c r="A595" s="26"/>
      <c r="B595" s="251"/>
      <c r="C595" s="251"/>
      <c r="D595" s="251"/>
      <c r="E595" s="251"/>
      <c r="F595" s="251"/>
      <c r="G595" s="251"/>
      <c r="H595" s="251"/>
      <c r="I595" s="248">
        <f t="shared" si="123"/>
        <v>0</v>
      </c>
      <c r="J595" s="250"/>
      <c r="K595" s="250"/>
      <c r="L595" s="250"/>
      <c r="M595" s="250"/>
      <c r="N595" s="250"/>
      <c r="O595" s="250"/>
      <c r="P595" s="250"/>
      <c r="Q595" s="250"/>
      <c r="R595" s="250"/>
      <c r="S595" s="250"/>
      <c r="T595" s="250"/>
      <c r="U595" s="250"/>
      <c r="V595" s="250">
        <f t="shared" ref="V595:V596" si="135">J595+K595+L595+M595+N595+O595+P595+Q595+R595+S595+T595+U595</f>
        <v>0</v>
      </c>
    </row>
    <row r="596" spans="1:22">
      <c r="A596" s="26"/>
      <c r="B596" s="251"/>
      <c r="C596" s="251"/>
      <c r="D596" s="251"/>
      <c r="E596" s="251"/>
      <c r="F596" s="251"/>
      <c r="G596" s="251"/>
      <c r="H596" s="251"/>
      <c r="I596" s="248">
        <f t="shared" si="123"/>
        <v>0</v>
      </c>
      <c r="J596" s="250"/>
      <c r="K596" s="250"/>
      <c r="L596" s="250"/>
      <c r="M596" s="250"/>
      <c r="N596" s="250"/>
      <c r="O596" s="250"/>
      <c r="P596" s="250"/>
      <c r="Q596" s="250"/>
      <c r="R596" s="250"/>
      <c r="S596" s="250"/>
      <c r="T596" s="250"/>
      <c r="U596" s="250"/>
      <c r="V596" s="250">
        <f t="shared" si="135"/>
        <v>0</v>
      </c>
    </row>
    <row r="597" spans="1:22">
      <c r="A597" s="30" t="s">
        <v>584</v>
      </c>
      <c r="B597" s="251"/>
      <c r="C597" s="251"/>
      <c r="D597" s="251"/>
      <c r="E597" s="251"/>
      <c r="F597" s="251"/>
      <c r="G597" s="251"/>
      <c r="H597" s="251"/>
      <c r="I597" s="248">
        <f t="shared" si="123"/>
        <v>0</v>
      </c>
      <c r="J597" s="249">
        <f t="shared" ref="J597:V597" si="136">SUM(J598:J600)</f>
        <v>0</v>
      </c>
      <c r="K597" s="249">
        <f t="shared" si="136"/>
        <v>0</v>
      </c>
      <c r="L597" s="249">
        <f t="shared" si="136"/>
        <v>0</v>
      </c>
      <c r="M597" s="249">
        <f t="shared" si="136"/>
        <v>0</v>
      </c>
      <c r="N597" s="249">
        <f t="shared" si="136"/>
        <v>0</v>
      </c>
      <c r="O597" s="249">
        <f t="shared" si="136"/>
        <v>0</v>
      </c>
      <c r="P597" s="249">
        <f t="shared" si="136"/>
        <v>0</v>
      </c>
      <c r="Q597" s="249">
        <f t="shared" si="136"/>
        <v>0</v>
      </c>
      <c r="R597" s="249">
        <f t="shared" si="136"/>
        <v>0</v>
      </c>
      <c r="S597" s="249">
        <f t="shared" si="136"/>
        <v>0</v>
      </c>
      <c r="T597" s="249">
        <f t="shared" si="136"/>
        <v>0</v>
      </c>
      <c r="U597" s="249">
        <f t="shared" si="136"/>
        <v>0</v>
      </c>
      <c r="V597" s="249">
        <f t="shared" si="136"/>
        <v>0</v>
      </c>
    </row>
    <row r="598" spans="1:22">
      <c r="A598" s="26" t="s">
        <v>54</v>
      </c>
      <c r="B598" s="251"/>
      <c r="C598" s="251"/>
      <c r="D598" s="251"/>
      <c r="E598" s="251"/>
      <c r="F598" s="251"/>
      <c r="G598" s="251"/>
      <c r="H598" s="251"/>
      <c r="I598" s="248">
        <f t="shared" si="123"/>
        <v>0</v>
      </c>
      <c r="J598" s="250"/>
      <c r="K598" s="250"/>
      <c r="L598" s="250"/>
      <c r="M598" s="250"/>
      <c r="N598" s="250"/>
      <c r="O598" s="250"/>
      <c r="P598" s="250"/>
      <c r="Q598" s="250"/>
      <c r="R598" s="250"/>
      <c r="S598" s="250"/>
      <c r="T598" s="250"/>
      <c r="U598" s="250"/>
      <c r="V598" s="250">
        <f t="shared" ref="V598:V600" si="137">J598+K598+L598+M598+N598+O598+P598+Q598+R598+S598+T598+U598</f>
        <v>0</v>
      </c>
    </row>
    <row r="599" spans="1:22">
      <c r="A599" s="26"/>
      <c r="B599" s="251"/>
      <c r="C599" s="251"/>
      <c r="D599" s="251"/>
      <c r="E599" s="251"/>
      <c r="F599" s="251"/>
      <c r="G599" s="251"/>
      <c r="H599" s="251"/>
      <c r="I599" s="248">
        <f t="shared" si="123"/>
        <v>0</v>
      </c>
      <c r="J599" s="250"/>
      <c r="K599" s="250"/>
      <c r="L599" s="250"/>
      <c r="M599" s="250"/>
      <c r="N599" s="250"/>
      <c r="O599" s="250"/>
      <c r="P599" s="250"/>
      <c r="Q599" s="250"/>
      <c r="R599" s="250"/>
      <c r="S599" s="250"/>
      <c r="T599" s="250"/>
      <c r="U599" s="250"/>
      <c r="V599" s="250">
        <f t="shared" si="137"/>
        <v>0</v>
      </c>
    </row>
    <row r="600" spans="1:22">
      <c r="A600" s="26"/>
      <c r="B600" s="251"/>
      <c r="C600" s="251"/>
      <c r="D600" s="251"/>
      <c r="E600" s="251"/>
      <c r="F600" s="251"/>
      <c r="G600" s="251"/>
      <c r="H600" s="251"/>
      <c r="I600" s="248">
        <f t="shared" si="123"/>
        <v>0</v>
      </c>
      <c r="J600" s="250"/>
      <c r="K600" s="250"/>
      <c r="L600" s="250"/>
      <c r="M600" s="250"/>
      <c r="N600" s="250"/>
      <c r="O600" s="250"/>
      <c r="P600" s="250"/>
      <c r="Q600" s="250"/>
      <c r="R600" s="250"/>
      <c r="S600" s="250"/>
      <c r="T600" s="250"/>
      <c r="U600" s="250"/>
      <c r="V600" s="250">
        <f t="shared" si="137"/>
        <v>0</v>
      </c>
    </row>
    <row r="601" spans="1:22">
      <c r="A601" s="30" t="s">
        <v>585</v>
      </c>
      <c r="B601" s="251"/>
      <c r="C601" s="251"/>
      <c r="D601" s="251"/>
      <c r="E601" s="251"/>
      <c r="F601" s="251"/>
      <c r="G601" s="251"/>
      <c r="H601" s="251"/>
      <c r="I601" s="248">
        <f t="shared" si="123"/>
        <v>0</v>
      </c>
      <c r="J601" s="249">
        <v>0</v>
      </c>
      <c r="K601" s="249">
        <v>0</v>
      </c>
      <c r="L601" s="249">
        <v>0</v>
      </c>
      <c r="M601" s="249">
        <v>0</v>
      </c>
      <c r="N601" s="249">
        <v>0</v>
      </c>
      <c r="O601" s="249">
        <v>0</v>
      </c>
      <c r="P601" s="249">
        <v>0</v>
      </c>
      <c r="Q601" s="249">
        <v>0</v>
      </c>
      <c r="R601" s="249">
        <v>0</v>
      </c>
      <c r="S601" s="249">
        <v>0</v>
      </c>
      <c r="T601" s="249">
        <v>0</v>
      </c>
      <c r="U601" s="249">
        <v>0</v>
      </c>
      <c r="V601" s="249">
        <v>0</v>
      </c>
    </row>
    <row r="602" spans="1:22">
      <c r="A602" s="30" t="s">
        <v>586</v>
      </c>
      <c r="B602" s="251"/>
      <c r="C602" s="251"/>
      <c r="D602" s="251"/>
      <c r="E602" s="251"/>
      <c r="F602" s="251"/>
      <c r="G602" s="251"/>
      <c r="H602" s="251"/>
      <c r="I602" s="248">
        <f t="shared" si="123"/>
        <v>0</v>
      </c>
      <c r="J602" s="249">
        <f t="shared" ref="J602:V602" si="138">SUM(J603:J604)</f>
        <v>0</v>
      </c>
      <c r="K602" s="249">
        <f t="shared" si="138"/>
        <v>0</v>
      </c>
      <c r="L602" s="249">
        <f t="shared" si="138"/>
        <v>0</v>
      </c>
      <c r="M602" s="249">
        <f t="shared" si="138"/>
        <v>0</v>
      </c>
      <c r="N602" s="249">
        <f t="shared" si="138"/>
        <v>0</v>
      </c>
      <c r="O602" s="249">
        <f t="shared" si="138"/>
        <v>0</v>
      </c>
      <c r="P602" s="249">
        <f t="shared" si="138"/>
        <v>0</v>
      </c>
      <c r="Q602" s="249">
        <f t="shared" si="138"/>
        <v>0</v>
      </c>
      <c r="R602" s="249">
        <f t="shared" si="138"/>
        <v>0</v>
      </c>
      <c r="S602" s="249">
        <f t="shared" si="138"/>
        <v>0</v>
      </c>
      <c r="T602" s="249">
        <f t="shared" si="138"/>
        <v>0</v>
      </c>
      <c r="U602" s="249">
        <f t="shared" si="138"/>
        <v>0</v>
      </c>
      <c r="V602" s="249">
        <f t="shared" si="138"/>
        <v>0</v>
      </c>
    </row>
    <row r="603" spans="1:22">
      <c r="A603" s="26" t="s">
        <v>1050</v>
      </c>
      <c r="B603" s="251"/>
      <c r="C603" s="251"/>
      <c r="D603" s="251"/>
      <c r="E603" s="251"/>
      <c r="F603" s="251"/>
      <c r="G603" s="251"/>
      <c r="H603" s="251"/>
      <c r="I603" s="248">
        <f t="shared" si="123"/>
        <v>0</v>
      </c>
      <c r="J603" s="250"/>
      <c r="K603" s="250"/>
      <c r="L603" s="250"/>
      <c r="M603" s="250"/>
      <c r="N603" s="250"/>
      <c r="O603" s="250"/>
      <c r="P603" s="250"/>
      <c r="Q603" s="250"/>
      <c r="R603" s="250"/>
      <c r="S603" s="250"/>
      <c r="T603" s="250"/>
      <c r="U603" s="250"/>
      <c r="V603" s="250">
        <f t="shared" ref="V603:V604" si="139">J603+K603+L603+M603+N603+O603+P603+Q603+R603+S603+T603+U603</f>
        <v>0</v>
      </c>
    </row>
    <row r="604" spans="1:22">
      <c r="A604" s="26"/>
      <c r="B604" s="251"/>
      <c r="C604" s="251"/>
      <c r="D604" s="251"/>
      <c r="E604" s="251"/>
      <c r="F604" s="251"/>
      <c r="G604" s="251"/>
      <c r="H604" s="251"/>
      <c r="I604" s="248">
        <f t="shared" si="123"/>
        <v>0</v>
      </c>
      <c r="J604" s="250"/>
      <c r="K604" s="250"/>
      <c r="L604" s="250"/>
      <c r="M604" s="250"/>
      <c r="N604" s="250"/>
      <c r="O604" s="250"/>
      <c r="P604" s="250"/>
      <c r="Q604" s="250"/>
      <c r="R604" s="250"/>
      <c r="S604" s="250"/>
      <c r="T604" s="250"/>
      <c r="U604" s="250"/>
      <c r="V604" s="250">
        <f t="shared" si="139"/>
        <v>0</v>
      </c>
    </row>
    <row r="605" spans="1:22">
      <c r="A605" s="30" t="s">
        <v>587</v>
      </c>
      <c r="B605" s="251"/>
      <c r="C605" s="251"/>
      <c r="D605" s="251"/>
      <c r="E605" s="251"/>
      <c r="F605" s="251"/>
      <c r="G605" s="251"/>
      <c r="H605" s="251"/>
      <c r="I605" s="248">
        <f t="shared" si="123"/>
        <v>0</v>
      </c>
      <c r="J605" s="249">
        <v>0</v>
      </c>
      <c r="K605" s="249">
        <v>0</v>
      </c>
      <c r="L605" s="249">
        <v>0</v>
      </c>
      <c r="M605" s="249">
        <v>0</v>
      </c>
      <c r="N605" s="249">
        <v>0</v>
      </c>
      <c r="O605" s="249">
        <v>0</v>
      </c>
      <c r="P605" s="249">
        <v>0</v>
      </c>
      <c r="Q605" s="249">
        <v>0</v>
      </c>
      <c r="R605" s="249">
        <v>0</v>
      </c>
      <c r="S605" s="249">
        <v>0</v>
      </c>
      <c r="T605" s="249">
        <v>0</v>
      </c>
      <c r="U605" s="249">
        <v>0</v>
      </c>
      <c r="V605" s="249">
        <f>J605+K605+L605+M605+N605+O605+P605+Q605+R605+S605+T605+U605</f>
        <v>0</v>
      </c>
    </row>
    <row r="606" spans="1:22">
      <c r="A606" s="30" t="s">
        <v>588</v>
      </c>
      <c r="B606" s="251"/>
      <c r="C606" s="251"/>
      <c r="D606" s="251"/>
      <c r="E606" s="251"/>
      <c r="F606" s="251"/>
      <c r="G606" s="251"/>
      <c r="H606" s="251"/>
      <c r="I606" s="248">
        <f t="shared" si="123"/>
        <v>0</v>
      </c>
      <c r="J606" s="249">
        <v>0</v>
      </c>
      <c r="K606" s="249">
        <v>0</v>
      </c>
      <c r="L606" s="249">
        <v>0</v>
      </c>
      <c r="M606" s="249">
        <v>0</v>
      </c>
      <c r="N606" s="249">
        <v>0</v>
      </c>
      <c r="O606" s="249">
        <v>0</v>
      </c>
      <c r="P606" s="249">
        <v>0</v>
      </c>
      <c r="Q606" s="249">
        <v>0</v>
      </c>
      <c r="R606" s="249">
        <v>0</v>
      </c>
      <c r="S606" s="249">
        <v>0</v>
      </c>
      <c r="T606" s="249">
        <v>0</v>
      </c>
      <c r="U606" s="249">
        <v>0</v>
      </c>
      <c r="V606" s="249">
        <f>J606+K606+L606+M606+N606+O606+P606+Q606+R606+S606+T606+U606</f>
        <v>0</v>
      </c>
    </row>
    <row r="607" spans="1:22">
      <c r="A607" s="30" t="s">
        <v>589</v>
      </c>
      <c r="B607" s="251"/>
      <c r="C607" s="251"/>
      <c r="D607" s="251"/>
      <c r="E607" s="251"/>
      <c r="F607" s="251"/>
      <c r="G607" s="251"/>
      <c r="H607" s="251"/>
      <c r="I607" s="248">
        <f t="shared" si="123"/>
        <v>0</v>
      </c>
      <c r="J607" s="249">
        <v>0</v>
      </c>
      <c r="K607" s="249">
        <v>0</v>
      </c>
      <c r="L607" s="249">
        <v>0</v>
      </c>
      <c r="M607" s="249">
        <v>0</v>
      </c>
      <c r="N607" s="249">
        <v>0</v>
      </c>
      <c r="O607" s="249">
        <v>0</v>
      </c>
      <c r="P607" s="249">
        <v>0</v>
      </c>
      <c r="Q607" s="249">
        <v>0</v>
      </c>
      <c r="R607" s="249">
        <v>0</v>
      </c>
      <c r="S607" s="249">
        <v>0</v>
      </c>
      <c r="T607" s="249">
        <v>0</v>
      </c>
      <c r="U607" s="249">
        <v>0</v>
      </c>
      <c r="V607" s="249">
        <f>J607+K607+L607+M607+N607+O607+P607+Q607+R607+S607+T607+U607</f>
        <v>0</v>
      </c>
    </row>
    <row r="608" spans="1:22">
      <c r="A608" s="30" t="s">
        <v>590</v>
      </c>
      <c r="B608" s="251"/>
      <c r="C608" s="251"/>
      <c r="D608" s="251"/>
      <c r="E608" s="251"/>
      <c r="F608" s="251"/>
      <c r="G608" s="251"/>
      <c r="H608" s="251"/>
      <c r="I608" s="248">
        <f t="shared" si="123"/>
        <v>0</v>
      </c>
      <c r="J608" s="249">
        <v>0</v>
      </c>
      <c r="K608" s="249">
        <v>0</v>
      </c>
      <c r="L608" s="249">
        <v>0</v>
      </c>
      <c r="M608" s="249">
        <v>0</v>
      </c>
      <c r="N608" s="249">
        <v>0</v>
      </c>
      <c r="O608" s="249">
        <v>0</v>
      </c>
      <c r="P608" s="249">
        <v>0</v>
      </c>
      <c r="Q608" s="249">
        <v>0</v>
      </c>
      <c r="R608" s="249">
        <v>0</v>
      </c>
      <c r="S608" s="249">
        <v>0</v>
      </c>
      <c r="T608" s="249">
        <v>0</v>
      </c>
      <c r="U608" s="249">
        <v>0</v>
      </c>
      <c r="V608" s="249">
        <f>J608+K608+L608+M608+N608+O608+P608+Q608+R608+S608+T608+U608</f>
        <v>0</v>
      </c>
    </row>
    <row r="609" spans="1:22">
      <c r="A609" s="320"/>
      <c r="B609" s="320"/>
      <c r="C609" s="320"/>
      <c r="D609" s="320"/>
      <c r="E609" s="320"/>
      <c r="F609" s="321"/>
      <c r="G609" s="321"/>
      <c r="H609" s="322"/>
      <c r="I609" s="322"/>
      <c r="J609" s="322"/>
      <c r="K609" s="322"/>
      <c r="L609" s="322"/>
      <c r="M609" s="322"/>
      <c r="N609" s="322"/>
      <c r="O609" s="322"/>
      <c r="P609" s="322"/>
      <c r="Q609" s="322"/>
      <c r="R609" s="322"/>
      <c r="S609" s="322"/>
      <c r="T609" s="322"/>
      <c r="U609" s="322"/>
      <c r="V609" s="322"/>
    </row>
    <row r="610" spans="1:22" ht="30">
      <c r="A610" s="323" t="s">
        <v>1051</v>
      </c>
      <c r="B610" s="320"/>
      <c r="C610" s="320"/>
      <c r="D610" s="320"/>
      <c r="E610" s="320"/>
      <c r="F610" s="321"/>
      <c r="G610" s="321"/>
      <c r="H610" s="322"/>
      <c r="I610" s="322"/>
      <c r="J610" s="322"/>
      <c r="K610" s="322"/>
      <c r="L610" s="322"/>
      <c r="M610" s="322"/>
      <c r="N610" s="322"/>
      <c r="O610" s="322"/>
      <c r="P610" s="322"/>
      <c r="Q610" s="322"/>
      <c r="R610" s="322"/>
      <c r="S610" s="322"/>
      <c r="T610" s="322"/>
      <c r="U610" s="322"/>
      <c r="V610" s="322"/>
    </row>
    <row r="611" spans="1:22" ht="75">
      <c r="A611" s="324" t="s">
        <v>1052</v>
      </c>
      <c r="B611" s="324" t="s">
        <v>1053</v>
      </c>
      <c r="C611" s="324" t="s">
        <v>1054</v>
      </c>
      <c r="D611" s="325">
        <v>363288</v>
      </c>
      <c r="E611" s="325" t="s">
        <v>997</v>
      </c>
      <c r="F611" s="325">
        <v>450</v>
      </c>
      <c r="G611" s="325" t="s">
        <v>1055</v>
      </c>
      <c r="H611" s="326">
        <v>530</v>
      </c>
      <c r="I611" s="326">
        <f t="shared" si="123"/>
        <v>238500</v>
      </c>
      <c r="J611" s="327">
        <v>0</v>
      </c>
      <c r="K611" s="327">
        <v>0</v>
      </c>
      <c r="L611" s="327">
        <v>0</v>
      </c>
      <c r="M611" s="327">
        <v>0</v>
      </c>
      <c r="N611" s="327">
        <v>0</v>
      </c>
      <c r="O611" s="327">
        <v>0</v>
      </c>
      <c r="P611" s="327">
        <v>0</v>
      </c>
      <c r="Q611" s="326">
        <v>79500</v>
      </c>
      <c r="R611" s="326">
        <v>79500</v>
      </c>
      <c r="S611" s="326">
        <v>79500</v>
      </c>
      <c r="T611" s="327">
        <v>0</v>
      </c>
      <c r="U611" s="327">
        <v>0</v>
      </c>
      <c r="V611" s="326">
        <f t="shared" ref="V611:V612" si="140">J611+K611+L611+M611+N611+O611+P611+Q611+R611+S611+T611+U611</f>
        <v>238500</v>
      </c>
    </row>
    <row r="612" spans="1:22" ht="45">
      <c r="A612" s="324" t="s">
        <v>1056</v>
      </c>
      <c r="B612" s="324" t="s">
        <v>1057</v>
      </c>
      <c r="C612" s="324" t="s">
        <v>1058</v>
      </c>
      <c r="D612" s="325">
        <v>13102</v>
      </c>
      <c r="E612" s="325" t="s">
        <v>1059</v>
      </c>
      <c r="F612" s="325">
        <v>62</v>
      </c>
      <c r="G612" s="325" t="s">
        <v>998</v>
      </c>
      <c r="H612" s="326">
        <v>180</v>
      </c>
      <c r="I612" s="326">
        <f t="shared" si="123"/>
        <v>11160</v>
      </c>
      <c r="J612" s="327">
        <v>930</v>
      </c>
      <c r="K612" s="327">
        <v>930</v>
      </c>
      <c r="L612" s="327">
        <v>930</v>
      </c>
      <c r="M612" s="327">
        <v>930</v>
      </c>
      <c r="N612" s="327">
        <v>930</v>
      </c>
      <c r="O612" s="327">
        <v>930</v>
      </c>
      <c r="P612" s="327">
        <v>930</v>
      </c>
      <c r="Q612" s="327">
        <v>930</v>
      </c>
      <c r="R612" s="327">
        <v>930</v>
      </c>
      <c r="S612" s="327">
        <v>930</v>
      </c>
      <c r="T612" s="327">
        <v>930</v>
      </c>
      <c r="U612" s="327">
        <v>930</v>
      </c>
      <c r="V612" s="326">
        <f t="shared" si="140"/>
        <v>11160</v>
      </c>
    </row>
    <row r="613" spans="1:22" ht="15.75" thickBot="1"/>
    <row r="614" spans="1:22" ht="27.75" thickTop="1" thickBot="1">
      <c r="A614" s="493" t="s">
        <v>316</v>
      </c>
    </row>
    <row r="615" spans="1:22" ht="27.75" thickTop="1" thickBot="1">
      <c r="A615" s="490" t="s">
        <v>1192</v>
      </c>
    </row>
    <row r="616" spans="1:22" s="15" customFormat="1" ht="27" thickTop="1">
      <c r="A616" s="363"/>
      <c r="B616" s="358"/>
      <c r="C616" s="359"/>
      <c r="D616" s="360"/>
      <c r="E616" s="361"/>
      <c r="F616" s="361"/>
      <c r="G616" s="361"/>
      <c r="H616" s="362"/>
      <c r="I616" s="362"/>
      <c r="J616" s="362"/>
      <c r="K616" s="362"/>
      <c r="L616" s="362"/>
      <c r="M616" s="362"/>
      <c r="N616" s="362"/>
      <c r="O616" s="362"/>
      <c r="P616" s="362"/>
      <c r="Q616" s="362"/>
      <c r="R616" s="362"/>
      <c r="S616" s="362"/>
      <c r="T616" s="362"/>
    </row>
    <row r="617" spans="1:22" ht="52.5">
      <c r="A617" s="364" t="s">
        <v>53</v>
      </c>
      <c r="C617" s="7" t="s">
        <v>1061</v>
      </c>
    </row>
    <row r="619" spans="1:22">
      <c r="A619" s="365" t="s">
        <v>1069</v>
      </c>
      <c r="B619" s="366" t="s">
        <v>1070</v>
      </c>
      <c r="C619" s="367" t="s">
        <v>1071</v>
      </c>
      <c r="D619" s="368" t="s">
        <v>1072</v>
      </c>
      <c r="E619" s="369" t="s">
        <v>1073</v>
      </c>
      <c r="F619" s="369" t="s">
        <v>1074</v>
      </c>
      <c r="G619" s="369" t="s">
        <v>1075</v>
      </c>
      <c r="H619" s="369" t="s">
        <v>1076</v>
      </c>
      <c r="I619" s="369" t="s">
        <v>1077</v>
      </c>
      <c r="J619" s="369" t="s">
        <v>1078</v>
      </c>
      <c r="K619" s="369" t="s">
        <v>1079</v>
      </c>
      <c r="L619" s="369" t="s">
        <v>1080</v>
      </c>
      <c r="M619" s="369" t="s">
        <v>1081</v>
      </c>
      <c r="N619" s="369" t="s">
        <v>1082</v>
      </c>
      <c r="O619" s="369" t="s">
        <v>1083</v>
      </c>
      <c r="P619" s="369" t="s">
        <v>1084</v>
      </c>
      <c r="Q619" s="369" t="s">
        <v>1085</v>
      </c>
      <c r="R619" s="369" t="s">
        <v>1086</v>
      </c>
      <c r="S619" s="370" t="s">
        <v>1087</v>
      </c>
      <c r="T619" s="371" t="s">
        <v>1088</v>
      </c>
      <c r="U619" s="372" t="s">
        <v>1089</v>
      </c>
    </row>
    <row r="620" spans="1:22" ht="15" customHeight="1">
      <c r="A620" s="638" t="s">
        <v>1090</v>
      </c>
      <c r="B620" s="641">
        <v>19208</v>
      </c>
      <c r="C620" s="642" t="s">
        <v>1091</v>
      </c>
      <c r="D620" s="645" t="s">
        <v>1092</v>
      </c>
      <c r="E620" s="648">
        <v>44110</v>
      </c>
      <c r="F620" s="373" t="s">
        <v>1093</v>
      </c>
      <c r="G620" s="374">
        <v>5362.85</v>
      </c>
      <c r="H620" s="374">
        <v>5362.85</v>
      </c>
      <c r="I620" s="374">
        <v>5362.85</v>
      </c>
      <c r="J620" s="374">
        <v>5362.85</v>
      </c>
      <c r="K620" s="375">
        <v>5362.85</v>
      </c>
      <c r="L620" s="375">
        <v>5362.85</v>
      </c>
      <c r="M620" s="375">
        <v>5362.85</v>
      </c>
      <c r="N620" s="375">
        <v>5362.85</v>
      </c>
      <c r="O620" s="375">
        <v>5362.85</v>
      </c>
      <c r="P620" s="375" t="s">
        <v>334</v>
      </c>
      <c r="Q620" s="375" t="s">
        <v>334</v>
      </c>
      <c r="R620" s="375" t="s">
        <v>334</v>
      </c>
      <c r="S620" s="376">
        <f t="shared" ref="S620:S692" si="141">SUM(G620:R620)</f>
        <v>48265.649999999994</v>
      </c>
      <c r="T620" s="626">
        <f>SUM(S620:S622)</f>
        <v>64354.2</v>
      </c>
      <c r="U620" s="647" t="s">
        <v>1094</v>
      </c>
    </row>
    <row r="621" spans="1:22">
      <c r="A621" s="639"/>
      <c r="B621" s="627"/>
      <c r="C621" s="643"/>
      <c r="D621" s="627"/>
      <c r="E621" s="627"/>
      <c r="F621" s="373" t="s">
        <v>1095</v>
      </c>
      <c r="G621" s="374" t="s">
        <v>334</v>
      </c>
      <c r="H621" s="374" t="s">
        <v>334</v>
      </c>
      <c r="I621" s="374" t="s">
        <v>334</v>
      </c>
      <c r="J621" s="374" t="s">
        <v>334</v>
      </c>
      <c r="K621" s="374" t="s">
        <v>334</v>
      </c>
      <c r="L621" s="374" t="s">
        <v>334</v>
      </c>
      <c r="M621" s="374" t="s">
        <v>334</v>
      </c>
      <c r="N621" s="374" t="s">
        <v>334</v>
      </c>
      <c r="O621" s="374" t="s">
        <v>334</v>
      </c>
      <c r="P621" s="377">
        <v>5362.85</v>
      </c>
      <c r="Q621" s="377">
        <v>5362.85</v>
      </c>
      <c r="R621" s="377">
        <v>5362.85</v>
      </c>
      <c r="S621" s="376">
        <f t="shared" si="141"/>
        <v>16088.550000000001</v>
      </c>
      <c r="T621" s="627"/>
      <c r="U621" s="630"/>
    </row>
    <row r="622" spans="1:22">
      <c r="A622" s="640"/>
      <c r="B622" s="628"/>
      <c r="C622" s="644"/>
      <c r="D622" s="628"/>
      <c r="E622" s="628"/>
      <c r="F622" s="378" t="s">
        <v>1096</v>
      </c>
      <c r="G622" s="379">
        <v>0</v>
      </c>
      <c r="H622" s="379">
        <v>0</v>
      </c>
      <c r="I622" s="379">
        <v>0</v>
      </c>
      <c r="J622" s="379">
        <v>0</v>
      </c>
      <c r="K622" s="379">
        <v>0</v>
      </c>
      <c r="L622" s="379">
        <v>0</v>
      </c>
      <c r="M622" s="379">
        <v>0</v>
      </c>
      <c r="N622" s="379">
        <v>0</v>
      </c>
      <c r="O622" s="379">
        <v>0</v>
      </c>
      <c r="P622" s="379">
        <v>0</v>
      </c>
      <c r="Q622" s="379">
        <v>0</v>
      </c>
      <c r="R622" s="379">
        <v>0</v>
      </c>
      <c r="S622" s="380">
        <f t="shared" si="141"/>
        <v>0</v>
      </c>
      <c r="T622" s="628"/>
      <c r="U622" s="630"/>
    </row>
    <row r="623" spans="1:22">
      <c r="A623" s="638" t="s">
        <v>1097</v>
      </c>
      <c r="B623" s="641">
        <v>459757</v>
      </c>
      <c r="C623" s="642" t="s">
        <v>1098</v>
      </c>
      <c r="D623" s="645" t="s">
        <v>1099</v>
      </c>
      <c r="E623" s="650">
        <v>43830</v>
      </c>
      <c r="F623" s="373" t="s">
        <v>1093</v>
      </c>
      <c r="G623" s="374">
        <v>574.15</v>
      </c>
      <c r="H623" s="374">
        <v>574.15</v>
      </c>
      <c r="I623" s="374">
        <v>574.15</v>
      </c>
      <c r="J623" s="374">
        <v>574.15</v>
      </c>
      <c r="K623" s="381"/>
      <c r="L623" s="381"/>
      <c r="M623" s="381"/>
      <c r="N623" s="381"/>
      <c r="O623" s="381"/>
      <c r="P623" s="381"/>
      <c r="Q623" s="381"/>
      <c r="R623" s="381"/>
      <c r="S623" s="380">
        <f t="shared" si="141"/>
        <v>2296.6</v>
      </c>
      <c r="T623" s="626">
        <f>S623+S624</f>
        <v>8038.1999999999989</v>
      </c>
      <c r="U623" s="647" t="s">
        <v>1100</v>
      </c>
    </row>
    <row r="624" spans="1:22">
      <c r="A624" s="640"/>
      <c r="B624" s="628"/>
      <c r="C624" s="644"/>
      <c r="D624" s="628"/>
      <c r="E624" s="628"/>
      <c r="F624" s="378" t="s">
        <v>1095</v>
      </c>
      <c r="G624" s="379" t="s">
        <v>334</v>
      </c>
      <c r="H624" s="382" t="s">
        <v>334</v>
      </c>
      <c r="I624" s="382" t="s">
        <v>334</v>
      </c>
      <c r="J624" s="382" t="s">
        <v>334</v>
      </c>
      <c r="K624" s="382">
        <v>717.7</v>
      </c>
      <c r="L624" s="382">
        <v>717.7</v>
      </c>
      <c r="M624" s="382">
        <v>717.7</v>
      </c>
      <c r="N624" s="382">
        <v>717.7</v>
      </c>
      <c r="O624" s="382">
        <v>717.7</v>
      </c>
      <c r="P624" s="382">
        <v>717.7</v>
      </c>
      <c r="Q624" s="382">
        <v>717.7</v>
      </c>
      <c r="R624" s="382">
        <v>717.7</v>
      </c>
      <c r="S624" s="380">
        <f t="shared" si="141"/>
        <v>5741.5999999999995</v>
      </c>
      <c r="T624" s="628"/>
      <c r="U624" s="630"/>
    </row>
    <row r="625" spans="1:21">
      <c r="A625" s="638" t="s">
        <v>1101</v>
      </c>
      <c r="B625" s="641">
        <v>24015</v>
      </c>
      <c r="C625" s="642" t="s">
        <v>1102</v>
      </c>
      <c r="D625" s="645" t="s">
        <v>1062</v>
      </c>
      <c r="E625" s="648">
        <v>44103</v>
      </c>
      <c r="F625" s="373" t="s">
        <v>1093</v>
      </c>
      <c r="G625" s="374">
        <v>56868.77</v>
      </c>
      <c r="H625" s="374">
        <v>56868.77</v>
      </c>
      <c r="I625" s="374">
        <v>56868.77</v>
      </c>
      <c r="J625" s="374">
        <v>56868.77</v>
      </c>
      <c r="K625" s="374">
        <v>56868.77</v>
      </c>
      <c r="L625" s="374">
        <v>56868.77</v>
      </c>
      <c r="M625" s="374">
        <v>56868.77</v>
      </c>
      <c r="N625" s="374">
        <v>56868.77</v>
      </c>
      <c r="O625" s="374">
        <v>56868.77</v>
      </c>
      <c r="P625" s="375" t="s">
        <v>334</v>
      </c>
      <c r="Q625" s="375" t="s">
        <v>334</v>
      </c>
      <c r="R625" s="375" t="s">
        <v>334</v>
      </c>
      <c r="S625" s="380">
        <f t="shared" si="141"/>
        <v>511818.93000000005</v>
      </c>
      <c r="T625" s="626">
        <f>SUM(S625:S628)</f>
        <v>928098.30480000004</v>
      </c>
      <c r="U625" s="647" t="s">
        <v>1103</v>
      </c>
    </row>
    <row r="626" spans="1:21">
      <c r="A626" s="639"/>
      <c r="B626" s="627"/>
      <c r="C626" s="643"/>
      <c r="D626" s="627"/>
      <c r="E626" s="627"/>
      <c r="F626" s="373" t="s">
        <v>1095</v>
      </c>
      <c r="G626" s="377" t="s">
        <v>334</v>
      </c>
      <c r="H626" s="377" t="s">
        <v>334</v>
      </c>
      <c r="I626" s="377" t="s">
        <v>334</v>
      </c>
      <c r="J626" s="377" t="s">
        <v>334</v>
      </c>
      <c r="K626" s="377" t="s">
        <v>334</v>
      </c>
      <c r="L626" s="377" t="s">
        <v>334</v>
      </c>
      <c r="M626" s="377" t="s">
        <v>334</v>
      </c>
      <c r="N626" s="377" t="s">
        <v>334</v>
      </c>
      <c r="O626" s="377" t="s">
        <v>334</v>
      </c>
      <c r="P626" s="377">
        <v>56868.77</v>
      </c>
      <c r="Q626" s="377">
        <v>56868.77</v>
      </c>
      <c r="R626" s="377">
        <v>56868.77</v>
      </c>
      <c r="S626" s="380">
        <f t="shared" si="141"/>
        <v>170606.31</v>
      </c>
      <c r="T626" s="627"/>
      <c r="U626" s="630"/>
    </row>
    <row r="627" spans="1:21">
      <c r="A627" s="639"/>
      <c r="B627" s="627"/>
      <c r="C627" s="643"/>
      <c r="D627" s="627"/>
      <c r="E627" s="627"/>
      <c r="F627" s="373" t="s">
        <v>1096</v>
      </c>
      <c r="G627" s="374">
        <f t="shared" ref="G627:O627" si="142">G625*25/100</f>
        <v>14217.192499999999</v>
      </c>
      <c r="H627" s="374">
        <f t="shared" si="142"/>
        <v>14217.192499999999</v>
      </c>
      <c r="I627" s="374">
        <f t="shared" si="142"/>
        <v>14217.192499999999</v>
      </c>
      <c r="J627" s="374">
        <f t="shared" si="142"/>
        <v>14217.192499999999</v>
      </c>
      <c r="K627" s="374">
        <f t="shared" si="142"/>
        <v>14217.192499999999</v>
      </c>
      <c r="L627" s="374">
        <f t="shared" si="142"/>
        <v>14217.192499999999</v>
      </c>
      <c r="M627" s="374">
        <f t="shared" si="142"/>
        <v>14217.192499999999</v>
      </c>
      <c r="N627" s="374">
        <f t="shared" si="142"/>
        <v>14217.192499999999</v>
      </c>
      <c r="O627" s="374">
        <f t="shared" si="142"/>
        <v>14217.192499999999</v>
      </c>
      <c r="P627" s="377">
        <v>14217.19</v>
      </c>
      <c r="Q627" s="377">
        <v>14217.19</v>
      </c>
      <c r="R627" s="377">
        <v>14217.19</v>
      </c>
      <c r="S627" s="380">
        <f t="shared" si="141"/>
        <v>170606.30250000002</v>
      </c>
      <c r="T627" s="627"/>
      <c r="U627" s="630"/>
    </row>
    <row r="628" spans="1:21">
      <c r="A628" s="640"/>
      <c r="B628" s="628"/>
      <c r="C628" s="644"/>
      <c r="D628" s="628"/>
      <c r="E628" s="628"/>
      <c r="F628" s="378" t="s">
        <v>1104</v>
      </c>
      <c r="G628" s="379">
        <f t="shared" ref="G628:O628" si="143">G625*11/100</f>
        <v>6255.5646999999999</v>
      </c>
      <c r="H628" s="379">
        <f t="shared" si="143"/>
        <v>6255.5646999999999</v>
      </c>
      <c r="I628" s="379">
        <f t="shared" si="143"/>
        <v>6255.5646999999999</v>
      </c>
      <c r="J628" s="379">
        <f t="shared" si="143"/>
        <v>6255.5646999999999</v>
      </c>
      <c r="K628" s="379">
        <f t="shared" si="143"/>
        <v>6255.5646999999999</v>
      </c>
      <c r="L628" s="379">
        <f t="shared" si="143"/>
        <v>6255.5646999999999</v>
      </c>
      <c r="M628" s="379">
        <f t="shared" si="143"/>
        <v>6255.5646999999999</v>
      </c>
      <c r="N628" s="379">
        <f t="shared" si="143"/>
        <v>6255.5646999999999</v>
      </c>
      <c r="O628" s="379">
        <f t="shared" si="143"/>
        <v>6255.5646999999999</v>
      </c>
      <c r="P628" s="382">
        <v>6255.56</v>
      </c>
      <c r="Q628" s="382">
        <v>6255.56</v>
      </c>
      <c r="R628" s="382">
        <v>6255.56</v>
      </c>
      <c r="S628" s="380">
        <f t="shared" si="141"/>
        <v>75066.762300000002</v>
      </c>
      <c r="T628" s="628"/>
      <c r="U628" s="630"/>
    </row>
    <row r="629" spans="1:21" ht="15" customHeight="1">
      <c r="A629" s="638" t="s">
        <v>1105</v>
      </c>
      <c r="B629" s="651">
        <v>25194</v>
      </c>
      <c r="C629" s="642" t="s">
        <v>1106</v>
      </c>
      <c r="D629" s="645" t="s">
        <v>1107</v>
      </c>
      <c r="E629" s="648">
        <v>44165</v>
      </c>
      <c r="F629" s="373" t="s">
        <v>1093</v>
      </c>
      <c r="G629" s="374">
        <v>60000</v>
      </c>
      <c r="H629" s="377">
        <v>60000</v>
      </c>
      <c r="I629" s="377">
        <v>60000</v>
      </c>
      <c r="J629" s="377">
        <v>60000</v>
      </c>
      <c r="K629" s="377">
        <v>60000</v>
      </c>
      <c r="L629" s="377">
        <v>60000</v>
      </c>
      <c r="M629" s="377">
        <v>60000</v>
      </c>
      <c r="N629" s="377">
        <v>60000</v>
      </c>
      <c r="O629" s="377">
        <v>60000</v>
      </c>
      <c r="P629" s="377">
        <v>60000</v>
      </c>
      <c r="Q629" s="377">
        <v>60000</v>
      </c>
      <c r="R629" s="375"/>
      <c r="S629" s="383">
        <f t="shared" si="141"/>
        <v>660000</v>
      </c>
      <c r="T629" s="649">
        <f>SUM(S629:S632)</f>
        <v>979200</v>
      </c>
      <c r="U629" s="629" t="s">
        <v>1108</v>
      </c>
    </row>
    <row r="630" spans="1:21">
      <c r="A630" s="639"/>
      <c r="B630" s="627"/>
      <c r="C630" s="643"/>
      <c r="D630" s="627"/>
      <c r="E630" s="627"/>
      <c r="F630" s="373" t="s">
        <v>1095</v>
      </c>
      <c r="G630" s="374"/>
      <c r="H630" s="381"/>
      <c r="I630" s="381"/>
      <c r="J630" s="381"/>
      <c r="K630" s="381"/>
      <c r="L630" s="381"/>
      <c r="M630" s="381"/>
      <c r="N630" s="381"/>
      <c r="O630" s="377"/>
      <c r="P630" s="377"/>
      <c r="Q630" s="377"/>
      <c r="R630" s="377">
        <v>60000</v>
      </c>
      <c r="S630" s="383">
        <f t="shared" si="141"/>
        <v>60000</v>
      </c>
      <c r="T630" s="627"/>
      <c r="U630" s="630"/>
    </row>
    <row r="631" spans="1:21">
      <c r="A631" s="639"/>
      <c r="B631" s="627"/>
      <c r="C631" s="643"/>
      <c r="D631" s="627"/>
      <c r="E631" s="627"/>
      <c r="F631" s="373" t="s">
        <v>1096</v>
      </c>
      <c r="G631" s="374">
        <f t="shared" ref="G631:Q631" si="144">G629*25/100</f>
        <v>15000</v>
      </c>
      <c r="H631" s="374">
        <f t="shared" si="144"/>
        <v>15000</v>
      </c>
      <c r="I631" s="374">
        <f t="shared" si="144"/>
        <v>15000</v>
      </c>
      <c r="J631" s="374">
        <f t="shared" si="144"/>
        <v>15000</v>
      </c>
      <c r="K631" s="374">
        <f t="shared" si="144"/>
        <v>15000</v>
      </c>
      <c r="L631" s="374">
        <f t="shared" si="144"/>
        <v>15000</v>
      </c>
      <c r="M631" s="374">
        <f t="shared" si="144"/>
        <v>15000</v>
      </c>
      <c r="N631" s="374">
        <f t="shared" si="144"/>
        <v>15000</v>
      </c>
      <c r="O631" s="374">
        <f t="shared" si="144"/>
        <v>15000</v>
      </c>
      <c r="P631" s="374">
        <f t="shared" si="144"/>
        <v>15000</v>
      </c>
      <c r="Q631" s="374">
        <f t="shared" si="144"/>
        <v>15000</v>
      </c>
      <c r="R631" s="377">
        <v>15000</v>
      </c>
      <c r="S631" s="383">
        <f t="shared" si="141"/>
        <v>180000</v>
      </c>
      <c r="T631" s="627"/>
      <c r="U631" s="630"/>
    </row>
    <row r="632" spans="1:21">
      <c r="A632" s="640"/>
      <c r="B632" s="628"/>
      <c r="C632" s="644"/>
      <c r="D632" s="628"/>
      <c r="E632" s="628"/>
      <c r="F632" s="378" t="s">
        <v>1104</v>
      </c>
      <c r="G632" s="379">
        <f t="shared" ref="G632:Q632" si="145">G629*11/100</f>
        <v>6600</v>
      </c>
      <c r="H632" s="379">
        <f t="shared" si="145"/>
        <v>6600</v>
      </c>
      <c r="I632" s="379">
        <f t="shared" si="145"/>
        <v>6600</v>
      </c>
      <c r="J632" s="379">
        <f t="shared" si="145"/>
        <v>6600</v>
      </c>
      <c r="K632" s="379">
        <f t="shared" si="145"/>
        <v>6600</v>
      </c>
      <c r="L632" s="379">
        <f t="shared" si="145"/>
        <v>6600</v>
      </c>
      <c r="M632" s="379">
        <f t="shared" si="145"/>
        <v>6600</v>
      </c>
      <c r="N632" s="379">
        <f t="shared" si="145"/>
        <v>6600</v>
      </c>
      <c r="O632" s="379">
        <f t="shared" si="145"/>
        <v>6600</v>
      </c>
      <c r="P632" s="379">
        <f t="shared" si="145"/>
        <v>6600</v>
      </c>
      <c r="Q632" s="379">
        <f t="shared" si="145"/>
        <v>6600</v>
      </c>
      <c r="R632" s="382">
        <v>6600</v>
      </c>
      <c r="S632" s="383">
        <f t="shared" si="141"/>
        <v>79200</v>
      </c>
      <c r="T632" s="628"/>
      <c r="U632" s="630"/>
    </row>
    <row r="633" spans="1:21">
      <c r="A633" s="638" t="s">
        <v>1109</v>
      </c>
      <c r="B633" s="641">
        <v>5380</v>
      </c>
      <c r="C633" s="642" t="s">
        <v>1110</v>
      </c>
      <c r="D633" s="645" t="s">
        <v>1063</v>
      </c>
      <c r="E633" s="648">
        <v>43983</v>
      </c>
      <c r="F633" s="373" t="s">
        <v>1093</v>
      </c>
      <c r="G633" s="374">
        <v>135477.84999999998</v>
      </c>
      <c r="H633" s="374">
        <v>135477.84999999998</v>
      </c>
      <c r="I633" s="374">
        <v>135477.84999999998</v>
      </c>
      <c r="J633" s="374">
        <v>135477.84999999998</v>
      </c>
      <c r="K633" s="374">
        <v>135477.84999999998</v>
      </c>
      <c r="L633" s="377" t="s">
        <v>334</v>
      </c>
      <c r="M633" s="377" t="s">
        <v>334</v>
      </c>
      <c r="N633" s="377" t="s">
        <v>334</v>
      </c>
      <c r="O633" s="377" t="s">
        <v>334</v>
      </c>
      <c r="P633" s="377" t="s">
        <v>334</v>
      </c>
      <c r="Q633" s="377" t="s">
        <v>334</v>
      </c>
      <c r="R633" s="377" t="s">
        <v>334</v>
      </c>
      <c r="S633" s="380">
        <f t="shared" si="141"/>
        <v>677389.24999999988</v>
      </c>
      <c r="T633" s="626">
        <f>SUM(S633:S636)</f>
        <v>2210998.4699999997</v>
      </c>
      <c r="U633" s="647" t="s">
        <v>1108</v>
      </c>
    </row>
    <row r="634" spans="1:21">
      <c r="A634" s="639"/>
      <c r="B634" s="627"/>
      <c r="C634" s="643"/>
      <c r="D634" s="627"/>
      <c r="E634" s="627"/>
      <c r="F634" s="373" t="s">
        <v>1095</v>
      </c>
      <c r="G634" s="381" t="s">
        <v>334</v>
      </c>
      <c r="H634" s="381" t="s">
        <v>334</v>
      </c>
      <c r="I634" s="381" t="s">
        <v>334</v>
      </c>
      <c r="J634" s="381" t="s">
        <v>334</v>
      </c>
      <c r="K634" s="381" t="s">
        <v>334</v>
      </c>
      <c r="L634" s="374">
        <v>135477.84999999998</v>
      </c>
      <c r="M634" s="374">
        <v>135477.84999999998</v>
      </c>
      <c r="N634" s="374">
        <v>135477.84999999998</v>
      </c>
      <c r="O634" s="374">
        <v>135477.84999999998</v>
      </c>
      <c r="P634" s="374">
        <v>135477.84999999998</v>
      </c>
      <c r="Q634" s="374">
        <v>135477.84999999998</v>
      </c>
      <c r="R634" s="374">
        <v>135477.84999999998</v>
      </c>
      <c r="S634" s="380">
        <f t="shared" si="141"/>
        <v>948344.94999999984</v>
      </c>
      <c r="T634" s="627"/>
      <c r="U634" s="630"/>
    </row>
    <row r="635" spans="1:21">
      <c r="A635" s="639"/>
      <c r="B635" s="627"/>
      <c r="C635" s="643"/>
      <c r="D635" s="627"/>
      <c r="E635" s="627"/>
      <c r="F635" s="373" t="s">
        <v>1096</v>
      </c>
      <c r="G635" s="374">
        <f t="shared" ref="G635:K635" si="146">G633*25/100</f>
        <v>33869.462499999994</v>
      </c>
      <c r="H635" s="374">
        <f t="shared" si="146"/>
        <v>33869.462499999994</v>
      </c>
      <c r="I635" s="374">
        <f t="shared" si="146"/>
        <v>33869.462499999994</v>
      </c>
      <c r="J635" s="374">
        <f t="shared" si="146"/>
        <v>33869.462499999994</v>
      </c>
      <c r="K635" s="374">
        <f t="shared" si="146"/>
        <v>33869.462499999994</v>
      </c>
      <c r="L635" s="374">
        <v>33869.46</v>
      </c>
      <c r="M635" s="374">
        <v>33869.46</v>
      </c>
      <c r="N635" s="374">
        <v>33869.46</v>
      </c>
      <c r="O635" s="374">
        <v>33869.46</v>
      </c>
      <c r="P635" s="374">
        <v>33869.46</v>
      </c>
      <c r="Q635" s="374">
        <v>33869.46</v>
      </c>
      <c r="R635" s="374">
        <v>33869.46</v>
      </c>
      <c r="S635" s="380">
        <f t="shared" si="141"/>
        <v>406433.53250000003</v>
      </c>
      <c r="T635" s="627"/>
      <c r="U635" s="630"/>
    </row>
    <row r="636" spans="1:21">
      <c r="A636" s="640"/>
      <c r="B636" s="628"/>
      <c r="C636" s="644"/>
      <c r="D636" s="628"/>
      <c r="E636" s="628"/>
      <c r="F636" s="378" t="s">
        <v>1104</v>
      </c>
      <c r="G636" s="379">
        <f t="shared" ref="G636:K636" si="147">G633*11/100</f>
        <v>14902.563499999997</v>
      </c>
      <c r="H636" s="379">
        <f t="shared" si="147"/>
        <v>14902.563499999997</v>
      </c>
      <c r="I636" s="379">
        <f t="shared" si="147"/>
        <v>14902.563499999997</v>
      </c>
      <c r="J636" s="379">
        <f t="shared" si="147"/>
        <v>14902.563499999997</v>
      </c>
      <c r="K636" s="379">
        <f t="shared" si="147"/>
        <v>14902.563499999997</v>
      </c>
      <c r="L636" s="379">
        <v>14902.56</v>
      </c>
      <c r="M636" s="379">
        <v>14902.56</v>
      </c>
      <c r="N636" s="379">
        <v>14902.56</v>
      </c>
      <c r="O636" s="379">
        <v>14902.56</v>
      </c>
      <c r="P636" s="379">
        <v>14902.56</v>
      </c>
      <c r="Q636" s="379">
        <v>14902.56</v>
      </c>
      <c r="R636" s="379">
        <v>14902.56</v>
      </c>
      <c r="S636" s="380">
        <f t="shared" si="141"/>
        <v>178830.73749999996</v>
      </c>
      <c r="T636" s="628"/>
      <c r="U636" s="630"/>
    </row>
    <row r="637" spans="1:21" ht="28.5">
      <c r="A637" s="384" t="s">
        <v>1111</v>
      </c>
      <c r="B637" s="385">
        <v>4120</v>
      </c>
      <c r="C637" s="386" t="s">
        <v>1112</v>
      </c>
      <c r="D637" s="387" t="s">
        <v>1064</v>
      </c>
      <c r="E637" s="388">
        <v>43830</v>
      </c>
      <c r="F637" s="378" t="s">
        <v>1113</v>
      </c>
      <c r="G637" s="382">
        <v>17538.025000000001</v>
      </c>
      <c r="H637" s="382">
        <v>25973.449999999997</v>
      </c>
      <c r="I637" s="382">
        <v>20502.587500000001</v>
      </c>
      <c r="J637" s="382">
        <v>21997.3125</v>
      </c>
      <c r="K637" s="382">
        <v>25289.25</v>
      </c>
      <c r="L637" s="382">
        <v>20527.775000000001</v>
      </c>
      <c r="M637" s="382">
        <v>18531.762500000001</v>
      </c>
      <c r="N637" s="382">
        <v>21815.8125</v>
      </c>
      <c r="O637" s="382">
        <v>27268.506249999999</v>
      </c>
      <c r="P637" s="382">
        <v>27268.506249999999</v>
      </c>
      <c r="Q637" s="382">
        <v>27268.506249999999</v>
      </c>
      <c r="R637" s="382">
        <v>27268.506249999999</v>
      </c>
      <c r="S637" s="380">
        <f t="shared" si="141"/>
        <v>281250</v>
      </c>
      <c r="T637" s="380">
        <f t="shared" ref="T637:T641" si="148">SUM(S637)</f>
        <v>281250</v>
      </c>
      <c r="U637" s="389" t="s">
        <v>1114</v>
      </c>
    </row>
    <row r="638" spans="1:21" ht="28.5">
      <c r="A638" s="384" t="s">
        <v>1115</v>
      </c>
      <c r="B638" s="385">
        <v>4120</v>
      </c>
      <c r="C638" s="386" t="s">
        <v>1112</v>
      </c>
      <c r="D638" s="387" t="s">
        <v>1065</v>
      </c>
      <c r="E638" s="388">
        <v>43830</v>
      </c>
      <c r="F638" s="378" t="s">
        <v>1113</v>
      </c>
      <c r="G638" s="382">
        <v>91.987500000000011</v>
      </c>
      <c r="H638" s="382">
        <v>91.95</v>
      </c>
      <c r="I638" s="382">
        <v>92.287499999999994</v>
      </c>
      <c r="J638" s="382">
        <v>92.712500000000006</v>
      </c>
      <c r="K638" s="382">
        <v>92.325000000000003</v>
      </c>
      <c r="L638" s="382">
        <v>92.5625</v>
      </c>
      <c r="M638" s="382">
        <v>92.462500000000006</v>
      </c>
      <c r="N638" s="382">
        <v>94.862499999999997</v>
      </c>
      <c r="O638" s="382">
        <v>153.82187500000001</v>
      </c>
      <c r="P638" s="382">
        <v>153.82187500000001</v>
      </c>
      <c r="Q638" s="382">
        <v>153.82187500000001</v>
      </c>
      <c r="R638" s="382">
        <v>153.82187500000001</v>
      </c>
      <c r="S638" s="380">
        <f t="shared" si="141"/>
        <v>1356.4375000000002</v>
      </c>
      <c r="T638" s="380">
        <f t="shared" si="148"/>
        <v>1356.4375000000002</v>
      </c>
      <c r="U638" s="389" t="s">
        <v>1114</v>
      </c>
    </row>
    <row r="639" spans="1:21" ht="30">
      <c r="A639" s="384" t="s">
        <v>1116</v>
      </c>
      <c r="B639" s="385">
        <v>22845</v>
      </c>
      <c r="C639" s="386" t="s">
        <v>1117</v>
      </c>
      <c r="D639" s="387" t="s">
        <v>1066</v>
      </c>
      <c r="E639" s="388">
        <v>43830</v>
      </c>
      <c r="F639" s="378" t="s">
        <v>1113</v>
      </c>
      <c r="G639" s="379">
        <v>5102.08</v>
      </c>
      <c r="H639" s="379">
        <v>7076.33</v>
      </c>
      <c r="I639" s="379">
        <v>4533.5</v>
      </c>
      <c r="J639" s="379">
        <v>5847.61</v>
      </c>
      <c r="K639" s="379">
        <v>5861.44</v>
      </c>
      <c r="L639" s="379">
        <v>5085.59</v>
      </c>
      <c r="M639" s="379">
        <v>6657.45</v>
      </c>
      <c r="N639" s="379">
        <v>6657.45</v>
      </c>
      <c r="O639" s="379">
        <v>6657.45</v>
      </c>
      <c r="P639" s="379">
        <v>6657.45</v>
      </c>
      <c r="Q639" s="379">
        <v>6657.45</v>
      </c>
      <c r="R639" s="379">
        <v>6657.45</v>
      </c>
      <c r="S639" s="383">
        <f t="shared" si="141"/>
        <v>73451.249999999985</v>
      </c>
      <c r="T639" s="383">
        <f t="shared" si="148"/>
        <v>73451.249999999985</v>
      </c>
      <c r="U639" s="390" t="s">
        <v>1114</v>
      </c>
    </row>
    <row r="640" spans="1:21" ht="30">
      <c r="A640" s="384" t="s">
        <v>1118</v>
      </c>
      <c r="B640" s="385">
        <v>22845</v>
      </c>
      <c r="C640" s="386" t="s">
        <v>1117</v>
      </c>
      <c r="D640" s="387" t="s">
        <v>1067</v>
      </c>
      <c r="E640" s="388">
        <v>43830</v>
      </c>
      <c r="F640" s="378" t="s">
        <v>1113</v>
      </c>
      <c r="G640" s="379">
        <v>187</v>
      </c>
      <c r="H640" s="379">
        <v>187</v>
      </c>
      <c r="I640" s="379">
        <v>187.25</v>
      </c>
      <c r="J640" s="379">
        <v>192.5</v>
      </c>
      <c r="K640" s="379">
        <v>193</v>
      </c>
      <c r="L640" s="379">
        <v>199.25</v>
      </c>
      <c r="M640" s="379">
        <v>199.25</v>
      </c>
      <c r="N640" s="379">
        <v>199.25</v>
      </c>
      <c r="O640" s="379">
        <v>199.25</v>
      </c>
      <c r="P640" s="379">
        <v>199.25</v>
      </c>
      <c r="Q640" s="379">
        <v>199.25</v>
      </c>
      <c r="R640" s="379">
        <v>199.25</v>
      </c>
      <c r="S640" s="380">
        <f t="shared" si="141"/>
        <v>2341.5</v>
      </c>
      <c r="T640" s="380">
        <f t="shared" si="148"/>
        <v>2341.5</v>
      </c>
      <c r="U640" s="389" t="s">
        <v>1114</v>
      </c>
    </row>
    <row r="641" spans="1:21" ht="28.5">
      <c r="A641" s="384" t="s">
        <v>1119</v>
      </c>
      <c r="B641" s="385">
        <v>4120</v>
      </c>
      <c r="C641" s="386" t="s">
        <v>1112</v>
      </c>
      <c r="D641" s="387" t="s">
        <v>1068</v>
      </c>
      <c r="E641" s="388">
        <v>43830</v>
      </c>
      <c r="F641" s="378" t="s">
        <v>1113</v>
      </c>
      <c r="G641" s="379">
        <v>2982.6625000000004</v>
      </c>
      <c r="H641" s="379">
        <v>3457.5250000000001</v>
      </c>
      <c r="I641" s="379">
        <v>5559.3125</v>
      </c>
      <c r="J641" s="379">
        <v>5130.2250000000004</v>
      </c>
      <c r="K641" s="379">
        <v>3563.05</v>
      </c>
      <c r="L641" s="379">
        <v>2593.15</v>
      </c>
      <c r="M641" s="379">
        <v>3255.2125000000001</v>
      </c>
      <c r="N641" s="379">
        <v>2504.2725</v>
      </c>
      <c r="O641" s="379">
        <v>2504.2725</v>
      </c>
      <c r="P641" s="379">
        <v>2504.2725</v>
      </c>
      <c r="Q641" s="379">
        <v>2504.2725</v>
      </c>
      <c r="R641" s="379">
        <v>2504.2725</v>
      </c>
      <c r="S641" s="380">
        <f t="shared" si="141"/>
        <v>39062.5</v>
      </c>
      <c r="T641" s="380">
        <f t="shared" si="148"/>
        <v>39062.5</v>
      </c>
      <c r="U641" s="389" t="s">
        <v>1114</v>
      </c>
    </row>
    <row r="642" spans="1:21" ht="15" customHeight="1">
      <c r="A642" s="638" t="s">
        <v>1120</v>
      </c>
      <c r="B642" s="641">
        <v>22454</v>
      </c>
      <c r="C642" s="642" t="s">
        <v>1121</v>
      </c>
      <c r="D642" s="645" t="s">
        <v>1122</v>
      </c>
      <c r="E642" s="648">
        <v>43739</v>
      </c>
      <c r="F642" s="373" t="s">
        <v>1093</v>
      </c>
      <c r="G642" s="374">
        <v>6630.3</v>
      </c>
      <c r="H642" s="374">
        <v>6630.3</v>
      </c>
      <c r="I642" s="374">
        <v>6630.3</v>
      </c>
      <c r="J642" s="374">
        <v>6630.3</v>
      </c>
      <c r="K642" s="374">
        <v>6630.3</v>
      </c>
      <c r="L642" s="374">
        <v>6630.3</v>
      </c>
      <c r="M642" s="374">
        <v>6630.3</v>
      </c>
      <c r="N642" s="374">
        <v>6630.3</v>
      </c>
      <c r="O642" s="374">
        <v>6630.3</v>
      </c>
      <c r="P642" s="377" t="s">
        <v>334</v>
      </c>
      <c r="Q642" s="377" t="s">
        <v>334</v>
      </c>
      <c r="R642" s="377" t="s">
        <v>334</v>
      </c>
      <c r="S642" s="380">
        <f t="shared" si="141"/>
        <v>59672.700000000012</v>
      </c>
      <c r="T642" s="626">
        <f>SUM(S642:S644)</f>
        <v>99454.515000000014</v>
      </c>
      <c r="U642" s="647" t="s">
        <v>1123</v>
      </c>
    </row>
    <row r="643" spans="1:21">
      <c r="A643" s="639"/>
      <c r="B643" s="627"/>
      <c r="C643" s="643"/>
      <c r="D643" s="627"/>
      <c r="E643" s="627"/>
      <c r="F643" s="373" t="s">
        <v>1095</v>
      </c>
      <c r="G643" s="377" t="s">
        <v>334</v>
      </c>
      <c r="H643" s="377" t="s">
        <v>334</v>
      </c>
      <c r="I643" s="377" t="s">
        <v>334</v>
      </c>
      <c r="J643" s="377" t="s">
        <v>334</v>
      </c>
      <c r="K643" s="377" t="s">
        <v>334</v>
      </c>
      <c r="L643" s="377" t="s">
        <v>334</v>
      </c>
      <c r="M643" s="377" t="s">
        <v>334</v>
      </c>
      <c r="N643" s="377" t="s">
        <v>334</v>
      </c>
      <c r="O643" s="377" t="s">
        <v>334</v>
      </c>
      <c r="P643" s="374">
        <v>6630.3</v>
      </c>
      <c r="Q643" s="374">
        <v>6630.3</v>
      </c>
      <c r="R643" s="374">
        <v>6630.3</v>
      </c>
      <c r="S643" s="380">
        <f t="shared" si="141"/>
        <v>19890.900000000001</v>
      </c>
      <c r="T643" s="627"/>
      <c r="U643" s="630"/>
    </row>
    <row r="644" spans="1:21">
      <c r="A644" s="640"/>
      <c r="B644" s="628"/>
      <c r="C644" s="644"/>
      <c r="D644" s="628"/>
      <c r="E644" s="628"/>
      <c r="F644" s="378" t="s">
        <v>1096</v>
      </c>
      <c r="G644" s="379">
        <f t="shared" ref="G644:O644" si="149">G642*25/100</f>
        <v>1657.575</v>
      </c>
      <c r="H644" s="379">
        <f t="shared" si="149"/>
        <v>1657.575</v>
      </c>
      <c r="I644" s="379">
        <f t="shared" si="149"/>
        <v>1657.575</v>
      </c>
      <c r="J644" s="379">
        <f t="shared" si="149"/>
        <v>1657.575</v>
      </c>
      <c r="K644" s="379">
        <f t="shared" si="149"/>
        <v>1657.575</v>
      </c>
      <c r="L644" s="379">
        <f t="shared" si="149"/>
        <v>1657.575</v>
      </c>
      <c r="M644" s="379">
        <f t="shared" si="149"/>
        <v>1657.575</v>
      </c>
      <c r="N644" s="379">
        <f t="shared" si="149"/>
        <v>1657.575</v>
      </c>
      <c r="O644" s="379">
        <f t="shared" si="149"/>
        <v>1657.575</v>
      </c>
      <c r="P644" s="382">
        <v>1657.58</v>
      </c>
      <c r="Q644" s="382">
        <v>1657.58</v>
      </c>
      <c r="R644" s="382">
        <v>1657.58</v>
      </c>
      <c r="S644" s="380">
        <f t="shared" si="141"/>
        <v>19890.915000000008</v>
      </c>
      <c r="T644" s="628"/>
      <c r="U644" s="630"/>
    </row>
    <row r="645" spans="1:21" ht="15" customHeight="1">
      <c r="A645" s="638" t="s">
        <v>1124</v>
      </c>
      <c r="B645" s="641">
        <v>25518</v>
      </c>
      <c r="C645" s="642" t="s">
        <v>1125</v>
      </c>
      <c r="D645" s="645" t="s">
        <v>1126</v>
      </c>
      <c r="E645" s="648">
        <v>43861</v>
      </c>
      <c r="F645" s="373" t="s">
        <v>1093</v>
      </c>
      <c r="G645" s="374">
        <v>2906.92</v>
      </c>
      <c r="H645" s="374" t="s">
        <v>334</v>
      </c>
      <c r="I645" s="374" t="s">
        <v>334</v>
      </c>
      <c r="J645" s="374" t="s">
        <v>334</v>
      </c>
      <c r="K645" s="374" t="s">
        <v>334</v>
      </c>
      <c r="L645" s="374" t="s">
        <v>334</v>
      </c>
      <c r="M645" s="374" t="s">
        <v>334</v>
      </c>
      <c r="N645" s="374" t="s">
        <v>334</v>
      </c>
      <c r="O645" s="374" t="s">
        <v>334</v>
      </c>
      <c r="P645" s="377" t="s">
        <v>334</v>
      </c>
      <c r="Q645" s="377" t="s">
        <v>334</v>
      </c>
      <c r="R645" s="377" t="s">
        <v>334</v>
      </c>
      <c r="S645" s="380">
        <f t="shared" si="141"/>
        <v>2906.92</v>
      </c>
      <c r="T645" s="626">
        <f>SUM(S645:S647)</f>
        <v>34883.039999999994</v>
      </c>
      <c r="U645" s="647" t="s">
        <v>1127</v>
      </c>
    </row>
    <row r="646" spans="1:21">
      <c r="A646" s="639"/>
      <c r="B646" s="627"/>
      <c r="C646" s="643"/>
      <c r="D646" s="627"/>
      <c r="E646" s="627"/>
      <c r="F646" s="373" t="s">
        <v>1095</v>
      </c>
      <c r="G646" s="374" t="s">
        <v>334</v>
      </c>
      <c r="H646" s="374">
        <v>2906.92</v>
      </c>
      <c r="I646" s="374">
        <v>2906.92</v>
      </c>
      <c r="J646" s="374">
        <v>2906.92</v>
      </c>
      <c r="K646" s="374">
        <v>2906.92</v>
      </c>
      <c r="L646" s="374">
        <v>2906.92</v>
      </c>
      <c r="M646" s="374">
        <v>2906.92</v>
      </c>
      <c r="N646" s="374">
        <v>2906.92</v>
      </c>
      <c r="O646" s="374">
        <v>2906.92</v>
      </c>
      <c r="P646" s="374">
        <v>2906.92</v>
      </c>
      <c r="Q646" s="374">
        <v>2906.92</v>
      </c>
      <c r="R646" s="374">
        <v>2906.92</v>
      </c>
      <c r="S646" s="380">
        <f t="shared" si="141"/>
        <v>31976.119999999995</v>
      </c>
      <c r="T646" s="627"/>
      <c r="U646" s="630"/>
    </row>
    <row r="647" spans="1:21">
      <c r="A647" s="640"/>
      <c r="B647" s="628"/>
      <c r="C647" s="644"/>
      <c r="D647" s="628"/>
      <c r="E647" s="628"/>
      <c r="F647" s="378" t="s">
        <v>1096</v>
      </c>
      <c r="G647" s="379">
        <v>0</v>
      </c>
      <c r="H647" s="379">
        <v>0</v>
      </c>
      <c r="I647" s="379">
        <v>0</v>
      </c>
      <c r="J647" s="379">
        <v>0</v>
      </c>
      <c r="K647" s="379">
        <v>0</v>
      </c>
      <c r="L647" s="379">
        <v>0</v>
      </c>
      <c r="M647" s="379">
        <v>0</v>
      </c>
      <c r="N647" s="379">
        <v>0</v>
      </c>
      <c r="O647" s="379">
        <v>0</v>
      </c>
      <c r="P647" s="379">
        <v>0</v>
      </c>
      <c r="Q647" s="379">
        <v>0</v>
      </c>
      <c r="R647" s="379">
        <v>0</v>
      </c>
      <c r="S647" s="380">
        <f t="shared" si="141"/>
        <v>0</v>
      </c>
      <c r="T647" s="628"/>
      <c r="U647" s="630"/>
    </row>
    <row r="648" spans="1:21" ht="15" customHeight="1">
      <c r="A648" s="638" t="s">
        <v>1128</v>
      </c>
      <c r="B648" s="641">
        <v>3662</v>
      </c>
      <c r="C648" s="642" t="s">
        <v>1129</v>
      </c>
      <c r="D648" s="645" t="s">
        <v>1130</v>
      </c>
      <c r="E648" s="648">
        <v>44007</v>
      </c>
      <c r="F648" s="373" t="s">
        <v>1093</v>
      </c>
      <c r="G648" s="391" t="s">
        <v>334</v>
      </c>
      <c r="H648" s="391" t="s">
        <v>334</v>
      </c>
      <c r="I648" s="391" t="s">
        <v>334</v>
      </c>
      <c r="J648" s="392">
        <v>1213.75</v>
      </c>
      <c r="K648" s="391" t="s">
        <v>334</v>
      </c>
      <c r="L648" s="392" t="s">
        <v>334</v>
      </c>
      <c r="M648" s="391" t="s">
        <v>334</v>
      </c>
      <c r="N648" s="391" t="s">
        <v>334</v>
      </c>
      <c r="O648" s="391" t="s">
        <v>334</v>
      </c>
      <c r="P648" s="391" t="s">
        <v>334</v>
      </c>
      <c r="Q648" s="391" t="s">
        <v>334</v>
      </c>
      <c r="R648" s="391" t="s">
        <v>334</v>
      </c>
      <c r="S648" s="380">
        <f t="shared" si="141"/>
        <v>1213.75</v>
      </c>
      <c r="T648" s="626">
        <f>SUM(S648:S650)</f>
        <v>1517.1875</v>
      </c>
      <c r="U648" s="647" t="s">
        <v>1131</v>
      </c>
    </row>
    <row r="649" spans="1:21">
      <c r="A649" s="639"/>
      <c r="B649" s="627"/>
      <c r="C649" s="643"/>
      <c r="D649" s="627"/>
      <c r="E649" s="627"/>
      <c r="F649" s="373" t="s">
        <v>1095</v>
      </c>
      <c r="G649" s="391" t="s">
        <v>334</v>
      </c>
      <c r="H649" s="391" t="s">
        <v>334</v>
      </c>
      <c r="I649" s="391" t="s">
        <v>334</v>
      </c>
      <c r="J649" s="391" t="s">
        <v>334</v>
      </c>
      <c r="K649" s="391" t="s">
        <v>334</v>
      </c>
      <c r="L649" s="391" t="s">
        <v>334</v>
      </c>
      <c r="M649" s="391" t="s">
        <v>334</v>
      </c>
      <c r="N649" s="391" t="s">
        <v>334</v>
      </c>
      <c r="O649" s="391" t="s">
        <v>334</v>
      </c>
      <c r="P649" s="391" t="s">
        <v>334</v>
      </c>
      <c r="Q649" s="391" t="s">
        <v>334</v>
      </c>
      <c r="R649" s="391" t="s">
        <v>334</v>
      </c>
      <c r="S649" s="380">
        <f t="shared" si="141"/>
        <v>0</v>
      </c>
      <c r="T649" s="627"/>
      <c r="U649" s="630"/>
    </row>
    <row r="650" spans="1:21">
      <c r="A650" s="640"/>
      <c r="B650" s="628"/>
      <c r="C650" s="644"/>
      <c r="D650" s="628"/>
      <c r="E650" s="628"/>
      <c r="F650" s="378" t="s">
        <v>1096</v>
      </c>
      <c r="G650" s="393" t="s">
        <v>334</v>
      </c>
      <c r="H650" s="393" t="s">
        <v>334</v>
      </c>
      <c r="I650" s="393" t="s">
        <v>334</v>
      </c>
      <c r="J650" s="394">
        <f>J648*25/100</f>
        <v>303.4375</v>
      </c>
      <c r="K650" s="393" t="s">
        <v>334</v>
      </c>
      <c r="L650" s="393" t="s">
        <v>334</v>
      </c>
      <c r="M650" s="393" t="s">
        <v>334</v>
      </c>
      <c r="N650" s="393" t="s">
        <v>334</v>
      </c>
      <c r="O650" s="393" t="s">
        <v>334</v>
      </c>
      <c r="P650" s="393" t="s">
        <v>334</v>
      </c>
      <c r="Q650" s="393" t="s">
        <v>334</v>
      </c>
      <c r="R650" s="393" t="s">
        <v>334</v>
      </c>
      <c r="S650" s="380">
        <f t="shared" si="141"/>
        <v>303.4375</v>
      </c>
      <c r="T650" s="628"/>
      <c r="U650" s="630"/>
    </row>
    <row r="651" spans="1:21" ht="15" customHeight="1">
      <c r="A651" s="638" t="s">
        <v>1132</v>
      </c>
      <c r="B651" s="651">
        <v>16527</v>
      </c>
      <c r="C651" s="642" t="s">
        <v>1133</v>
      </c>
      <c r="D651" s="645" t="s">
        <v>1134</v>
      </c>
      <c r="E651" s="648">
        <v>44093</v>
      </c>
      <c r="F651" s="373" t="s">
        <v>1093</v>
      </c>
      <c r="G651" s="374" t="s">
        <v>334</v>
      </c>
      <c r="H651" s="374" t="s">
        <v>334</v>
      </c>
      <c r="I651" s="374">
        <v>3249.75</v>
      </c>
      <c r="J651" s="374" t="s">
        <v>334</v>
      </c>
      <c r="K651" s="374" t="s">
        <v>334</v>
      </c>
      <c r="L651" s="374">
        <v>3249.75</v>
      </c>
      <c r="M651" s="374" t="s">
        <v>334</v>
      </c>
      <c r="N651" s="374" t="s">
        <v>334</v>
      </c>
      <c r="O651" s="374" t="s">
        <v>334</v>
      </c>
      <c r="P651" s="377" t="s">
        <v>334</v>
      </c>
      <c r="Q651" s="377" t="s">
        <v>334</v>
      </c>
      <c r="R651" s="377" t="s">
        <v>334</v>
      </c>
      <c r="S651" s="380">
        <f t="shared" si="141"/>
        <v>6499.5</v>
      </c>
      <c r="T651" s="626">
        <f>SUM(S651:S653)</f>
        <v>14298.91</v>
      </c>
      <c r="U651" s="647" t="s">
        <v>1135</v>
      </c>
    </row>
    <row r="652" spans="1:21">
      <c r="A652" s="639"/>
      <c r="B652" s="627"/>
      <c r="C652" s="643"/>
      <c r="D652" s="627"/>
      <c r="E652" s="627"/>
      <c r="F652" s="373" t="s">
        <v>1095</v>
      </c>
      <c r="G652" s="377" t="s">
        <v>334</v>
      </c>
      <c r="H652" s="377" t="s">
        <v>334</v>
      </c>
      <c r="I652" s="377" t="s">
        <v>334</v>
      </c>
      <c r="J652" s="377" t="s">
        <v>334</v>
      </c>
      <c r="K652" s="377" t="s">
        <v>334</v>
      </c>
      <c r="L652" s="377" t="s">
        <v>334</v>
      </c>
      <c r="M652" s="377" t="s">
        <v>334</v>
      </c>
      <c r="N652" s="377" t="s">
        <v>334</v>
      </c>
      <c r="O652" s="377">
        <v>3249.75</v>
      </c>
      <c r="P652" s="374" t="s">
        <v>334</v>
      </c>
      <c r="Q652" s="374" t="s">
        <v>334</v>
      </c>
      <c r="R652" s="374">
        <v>3249.75</v>
      </c>
      <c r="S652" s="380">
        <f t="shared" si="141"/>
        <v>6499.5</v>
      </c>
      <c r="T652" s="627"/>
      <c r="U652" s="630"/>
    </row>
    <row r="653" spans="1:21">
      <c r="A653" s="640"/>
      <c r="B653" s="628"/>
      <c r="C653" s="644"/>
      <c r="D653" s="628"/>
      <c r="E653" s="628"/>
      <c r="F653" s="378" t="s">
        <v>1096</v>
      </c>
      <c r="G653" s="379" t="s">
        <v>334</v>
      </c>
      <c r="H653" s="395" t="s">
        <v>334</v>
      </c>
      <c r="I653" s="379">
        <f>I651*10/100</f>
        <v>324.97500000000002</v>
      </c>
      <c r="J653" s="395" t="s">
        <v>334</v>
      </c>
      <c r="K653" s="395" t="s">
        <v>334</v>
      </c>
      <c r="L653" s="379">
        <f>L651*10/100</f>
        <v>324.97500000000002</v>
      </c>
      <c r="M653" s="395" t="s">
        <v>334</v>
      </c>
      <c r="N653" s="395" t="s">
        <v>334</v>
      </c>
      <c r="O653" s="395">
        <v>324.98</v>
      </c>
      <c r="P653" s="382" t="s">
        <v>334</v>
      </c>
      <c r="Q653" s="382" t="s">
        <v>334</v>
      </c>
      <c r="R653" s="382">
        <v>324.98</v>
      </c>
      <c r="S653" s="380">
        <f t="shared" si="141"/>
        <v>1299.9100000000001</v>
      </c>
      <c r="T653" s="628"/>
      <c r="U653" s="630"/>
    </row>
    <row r="654" spans="1:21">
      <c r="A654" s="638" t="s">
        <v>1136</v>
      </c>
      <c r="B654" s="641">
        <v>5436</v>
      </c>
      <c r="C654" s="642" t="s">
        <v>1137</v>
      </c>
      <c r="D654" s="645" t="s">
        <v>1138</v>
      </c>
      <c r="E654" s="650">
        <v>43830</v>
      </c>
      <c r="F654" s="373" t="s">
        <v>1093</v>
      </c>
      <c r="G654" s="377">
        <v>702.41</v>
      </c>
      <c r="H654" s="377">
        <v>702.41</v>
      </c>
      <c r="I654" s="377">
        <v>702.41</v>
      </c>
      <c r="J654" s="377">
        <v>702.41</v>
      </c>
      <c r="K654" s="377">
        <v>702.41</v>
      </c>
      <c r="L654" s="381" t="s">
        <v>334</v>
      </c>
      <c r="M654" s="381" t="s">
        <v>334</v>
      </c>
      <c r="N654" s="381" t="s">
        <v>334</v>
      </c>
      <c r="O654" s="381" t="s">
        <v>334</v>
      </c>
      <c r="P654" s="381" t="s">
        <v>334</v>
      </c>
      <c r="Q654" s="381" t="s">
        <v>334</v>
      </c>
      <c r="R654" s="381" t="s">
        <v>334</v>
      </c>
      <c r="S654" s="380">
        <f t="shared" si="141"/>
        <v>3512.0499999999997</v>
      </c>
      <c r="T654" s="626">
        <f>SUM(S654:S655)</f>
        <v>9658.0499999999993</v>
      </c>
      <c r="U654" s="647" t="s">
        <v>1139</v>
      </c>
    </row>
    <row r="655" spans="1:21">
      <c r="A655" s="640"/>
      <c r="B655" s="628"/>
      <c r="C655" s="644"/>
      <c r="D655" s="628"/>
      <c r="E655" s="628"/>
      <c r="F655" s="378" t="s">
        <v>1095</v>
      </c>
      <c r="G655" s="379" t="s">
        <v>334</v>
      </c>
      <c r="H655" s="396" t="s">
        <v>334</v>
      </c>
      <c r="I655" s="396" t="s">
        <v>334</v>
      </c>
      <c r="J655" s="396" t="s">
        <v>334</v>
      </c>
      <c r="K655" s="396" t="s">
        <v>334</v>
      </c>
      <c r="L655" s="382">
        <v>878</v>
      </c>
      <c r="M655" s="382">
        <v>878</v>
      </c>
      <c r="N655" s="382">
        <v>878</v>
      </c>
      <c r="O655" s="382">
        <v>878</v>
      </c>
      <c r="P655" s="382">
        <v>878</v>
      </c>
      <c r="Q655" s="382">
        <v>878</v>
      </c>
      <c r="R655" s="382">
        <v>878</v>
      </c>
      <c r="S655" s="380">
        <f t="shared" si="141"/>
        <v>6146</v>
      </c>
      <c r="T655" s="628"/>
      <c r="U655" s="630"/>
    </row>
    <row r="656" spans="1:21" ht="15" customHeight="1">
      <c r="A656" s="638" t="s">
        <v>1140</v>
      </c>
      <c r="B656" s="641">
        <v>3417</v>
      </c>
      <c r="C656" s="642" t="s">
        <v>1141</v>
      </c>
      <c r="D656" s="645" t="s">
        <v>1142</v>
      </c>
      <c r="E656" s="648">
        <v>43729</v>
      </c>
      <c r="F656" s="373" t="s">
        <v>1093</v>
      </c>
      <c r="G656" s="374">
        <v>499.5</v>
      </c>
      <c r="H656" s="374" t="s">
        <v>334</v>
      </c>
      <c r="I656" s="374" t="s">
        <v>334</v>
      </c>
      <c r="J656" s="374">
        <v>499.5</v>
      </c>
      <c r="K656" s="374" t="s">
        <v>334</v>
      </c>
      <c r="L656" s="374" t="s">
        <v>334</v>
      </c>
      <c r="M656" s="374" t="s">
        <v>334</v>
      </c>
      <c r="N656" s="374" t="s">
        <v>334</v>
      </c>
      <c r="O656" s="374" t="s">
        <v>334</v>
      </c>
      <c r="P656" s="374" t="s">
        <v>334</v>
      </c>
      <c r="Q656" s="374" t="s">
        <v>334</v>
      </c>
      <c r="R656" s="374" t="s">
        <v>334</v>
      </c>
      <c r="S656" s="376">
        <f t="shared" si="141"/>
        <v>999</v>
      </c>
      <c r="T656" s="626">
        <f>SUM(S656:S658)</f>
        <v>2497.5100000000002</v>
      </c>
      <c r="U656" s="647" t="s">
        <v>1135</v>
      </c>
    </row>
    <row r="657" spans="1:21">
      <c r="A657" s="639"/>
      <c r="B657" s="627"/>
      <c r="C657" s="643"/>
      <c r="D657" s="627"/>
      <c r="E657" s="627"/>
      <c r="F657" s="373" t="s">
        <v>1095</v>
      </c>
      <c r="G657" s="374" t="s">
        <v>334</v>
      </c>
      <c r="H657" s="374" t="s">
        <v>334</v>
      </c>
      <c r="I657" s="374" t="s">
        <v>334</v>
      </c>
      <c r="J657" s="374" t="s">
        <v>334</v>
      </c>
      <c r="K657" s="374" t="s">
        <v>334</v>
      </c>
      <c r="L657" s="374" t="s">
        <v>334</v>
      </c>
      <c r="M657" s="374">
        <v>499.5</v>
      </c>
      <c r="N657" s="374" t="s">
        <v>334</v>
      </c>
      <c r="O657" s="374" t="s">
        <v>334</v>
      </c>
      <c r="P657" s="374">
        <v>499.5</v>
      </c>
      <c r="Q657" s="374" t="s">
        <v>334</v>
      </c>
      <c r="R657" s="374" t="s">
        <v>334</v>
      </c>
      <c r="S657" s="376">
        <f t="shared" si="141"/>
        <v>999</v>
      </c>
      <c r="T657" s="627"/>
      <c r="U657" s="630"/>
    </row>
    <row r="658" spans="1:21">
      <c r="A658" s="640"/>
      <c r="B658" s="628"/>
      <c r="C658" s="644"/>
      <c r="D658" s="628"/>
      <c r="E658" s="628"/>
      <c r="F658" s="378" t="s">
        <v>1096</v>
      </c>
      <c r="G658" s="379">
        <f>G656*25/100</f>
        <v>124.875</v>
      </c>
      <c r="H658" s="396" t="s">
        <v>334</v>
      </c>
      <c r="I658" s="396" t="s">
        <v>334</v>
      </c>
      <c r="J658" s="379">
        <f>J656*25/100</f>
        <v>124.875</v>
      </c>
      <c r="K658" s="396" t="s">
        <v>334</v>
      </c>
      <c r="L658" s="396" t="s">
        <v>334</v>
      </c>
      <c r="M658" s="396">
        <v>124.88</v>
      </c>
      <c r="N658" s="396" t="s">
        <v>334</v>
      </c>
      <c r="O658" s="396" t="s">
        <v>334</v>
      </c>
      <c r="P658" s="382">
        <v>124.88</v>
      </c>
      <c r="Q658" s="382" t="s">
        <v>334</v>
      </c>
      <c r="R658" s="382" t="s">
        <v>334</v>
      </c>
      <c r="S658" s="380">
        <f t="shared" si="141"/>
        <v>499.51</v>
      </c>
      <c r="T658" s="628"/>
      <c r="U658" s="630"/>
    </row>
    <row r="659" spans="1:21" ht="15" customHeight="1">
      <c r="A659" s="638" t="s">
        <v>1140</v>
      </c>
      <c r="B659" s="641">
        <v>3417</v>
      </c>
      <c r="C659" s="642" t="s">
        <v>1143</v>
      </c>
      <c r="D659" s="645" t="s">
        <v>1144</v>
      </c>
      <c r="E659" s="648">
        <v>43729</v>
      </c>
      <c r="F659" s="373" t="s">
        <v>1093</v>
      </c>
      <c r="G659" s="374">
        <v>425</v>
      </c>
      <c r="H659" s="374" t="s">
        <v>334</v>
      </c>
      <c r="I659" s="374" t="s">
        <v>334</v>
      </c>
      <c r="J659" s="374">
        <v>425</v>
      </c>
      <c r="K659" s="374" t="s">
        <v>334</v>
      </c>
      <c r="L659" s="374" t="s">
        <v>334</v>
      </c>
      <c r="M659" s="374" t="s">
        <v>334</v>
      </c>
      <c r="N659" s="374" t="s">
        <v>334</v>
      </c>
      <c r="O659" s="374" t="s">
        <v>334</v>
      </c>
      <c r="P659" s="374" t="s">
        <v>334</v>
      </c>
      <c r="Q659" s="374" t="s">
        <v>334</v>
      </c>
      <c r="R659" s="374" t="s">
        <v>334</v>
      </c>
      <c r="S659" s="376">
        <f t="shared" si="141"/>
        <v>850</v>
      </c>
      <c r="T659" s="626">
        <f>SUM(S659:S661)</f>
        <v>2125</v>
      </c>
      <c r="U659" s="647" t="s">
        <v>1135</v>
      </c>
    </row>
    <row r="660" spans="1:21">
      <c r="A660" s="639"/>
      <c r="B660" s="627"/>
      <c r="C660" s="643"/>
      <c r="D660" s="627"/>
      <c r="E660" s="627"/>
      <c r="F660" s="373" t="s">
        <v>1095</v>
      </c>
      <c r="G660" s="374" t="s">
        <v>334</v>
      </c>
      <c r="H660" s="374" t="s">
        <v>334</v>
      </c>
      <c r="I660" s="374" t="s">
        <v>334</v>
      </c>
      <c r="J660" s="374" t="s">
        <v>334</v>
      </c>
      <c r="K660" s="374" t="s">
        <v>334</v>
      </c>
      <c r="L660" s="374" t="s">
        <v>334</v>
      </c>
      <c r="M660" s="374">
        <v>425</v>
      </c>
      <c r="N660" s="374" t="s">
        <v>334</v>
      </c>
      <c r="O660" s="374" t="s">
        <v>334</v>
      </c>
      <c r="P660" s="374">
        <v>425</v>
      </c>
      <c r="Q660" s="374" t="s">
        <v>334</v>
      </c>
      <c r="R660" s="374" t="s">
        <v>334</v>
      </c>
      <c r="S660" s="376">
        <f t="shared" si="141"/>
        <v>850</v>
      </c>
      <c r="T660" s="627"/>
      <c r="U660" s="630"/>
    </row>
    <row r="661" spans="1:21">
      <c r="A661" s="640"/>
      <c r="B661" s="628"/>
      <c r="C661" s="644"/>
      <c r="D661" s="628"/>
      <c r="E661" s="628"/>
      <c r="F661" s="378" t="s">
        <v>1096</v>
      </c>
      <c r="G661" s="379">
        <f>G659*25/100</f>
        <v>106.25</v>
      </c>
      <c r="H661" s="396" t="s">
        <v>334</v>
      </c>
      <c r="I661" s="396" t="s">
        <v>334</v>
      </c>
      <c r="J661" s="379">
        <f>J659*25/100</f>
        <v>106.25</v>
      </c>
      <c r="K661" s="396" t="s">
        <v>334</v>
      </c>
      <c r="L661" s="396" t="s">
        <v>334</v>
      </c>
      <c r="M661" s="396">
        <v>106.25</v>
      </c>
      <c r="N661" s="396" t="s">
        <v>334</v>
      </c>
      <c r="O661" s="396" t="s">
        <v>334</v>
      </c>
      <c r="P661" s="382">
        <v>106.25</v>
      </c>
      <c r="Q661" s="382" t="s">
        <v>334</v>
      </c>
      <c r="R661" s="382" t="s">
        <v>334</v>
      </c>
      <c r="S661" s="380">
        <f t="shared" si="141"/>
        <v>425</v>
      </c>
      <c r="T661" s="628"/>
      <c r="U661" s="630"/>
    </row>
    <row r="662" spans="1:21">
      <c r="A662" s="638" t="s">
        <v>1145</v>
      </c>
      <c r="B662" s="641">
        <v>26115</v>
      </c>
      <c r="C662" s="642" t="s">
        <v>1146</v>
      </c>
      <c r="D662" s="645" t="s">
        <v>1147</v>
      </c>
      <c r="E662" s="648">
        <v>43731</v>
      </c>
      <c r="F662" s="373" t="s">
        <v>1093</v>
      </c>
      <c r="G662" s="374">
        <v>6603.72</v>
      </c>
      <c r="H662" s="374">
        <v>6603.72</v>
      </c>
      <c r="I662" s="374">
        <v>6603.72</v>
      </c>
      <c r="J662" s="374">
        <v>6603.72</v>
      </c>
      <c r="K662" s="374">
        <v>6603.72</v>
      </c>
      <c r="L662" s="374">
        <v>6603.72</v>
      </c>
      <c r="M662" s="374">
        <v>6603.72</v>
      </c>
      <c r="N662" s="374">
        <v>6603.72</v>
      </c>
      <c r="O662" s="374">
        <v>5282.98</v>
      </c>
      <c r="P662" s="377" t="s">
        <v>334</v>
      </c>
      <c r="Q662" s="377" t="s">
        <v>334</v>
      </c>
      <c r="R662" s="377" t="s">
        <v>334</v>
      </c>
      <c r="S662" s="380">
        <f t="shared" si="141"/>
        <v>58112.740000000005</v>
      </c>
      <c r="T662" s="626">
        <f>SUM(S662:S664)</f>
        <v>99055.800000000017</v>
      </c>
      <c r="U662" s="647" t="s">
        <v>1135</v>
      </c>
    </row>
    <row r="663" spans="1:21">
      <c r="A663" s="639"/>
      <c r="B663" s="627"/>
      <c r="C663" s="643"/>
      <c r="D663" s="627"/>
      <c r="E663" s="627"/>
      <c r="F663" s="373" t="s">
        <v>1095</v>
      </c>
      <c r="G663" s="377" t="s">
        <v>334</v>
      </c>
      <c r="H663" s="377" t="s">
        <v>334</v>
      </c>
      <c r="I663" s="377" t="s">
        <v>334</v>
      </c>
      <c r="J663" s="377" t="s">
        <v>334</v>
      </c>
      <c r="K663" s="377" t="s">
        <v>334</v>
      </c>
      <c r="L663" s="377" t="s">
        <v>334</v>
      </c>
      <c r="M663" s="377" t="s">
        <v>334</v>
      </c>
      <c r="N663" s="377" t="s">
        <v>334</v>
      </c>
      <c r="O663" s="374">
        <v>1320.74</v>
      </c>
      <c r="P663" s="374">
        <v>6603.72</v>
      </c>
      <c r="Q663" s="374">
        <v>6603.72</v>
      </c>
      <c r="R663" s="374">
        <v>6603.72</v>
      </c>
      <c r="S663" s="380">
        <f t="shared" si="141"/>
        <v>21131.9</v>
      </c>
      <c r="T663" s="627"/>
      <c r="U663" s="630"/>
    </row>
    <row r="664" spans="1:21">
      <c r="A664" s="640"/>
      <c r="B664" s="628"/>
      <c r="C664" s="644"/>
      <c r="D664" s="628"/>
      <c r="E664" s="628"/>
      <c r="F664" s="378" t="s">
        <v>1096</v>
      </c>
      <c r="G664" s="379">
        <f t="shared" ref="G664:N664" si="150">G662*25/100</f>
        <v>1650.93</v>
      </c>
      <c r="H664" s="379">
        <f t="shared" si="150"/>
        <v>1650.93</v>
      </c>
      <c r="I664" s="379">
        <f t="shared" si="150"/>
        <v>1650.93</v>
      </c>
      <c r="J664" s="379">
        <f t="shared" si="150"/>
        <v>1650.93</v>
      </c>
      <c r="K664" s="379">
        <f t="shared" si="150"/>
        <v>1650.93</v>
      </c>
      <c r="L664" s="379">
        <f t="shared" si="150"/>
        <v>1650.93</v>
      </c>
      <c r="M664" s="379">
        <f t="shared" si="150"/>
        <v>1650.93</v>
      </c>
      <c r="N664" s="379">
        <f t="shared" si="150"/>
        <v>1650.93</v>
      </c>
      <c r="O664" s="379">
        <v>1650.93</v>
      </c>
      <c r="P664" s="382">
        <v>1650.93</v>
      </c>
      <c r="Q664" s="382">
        <v>1650.93</v>
      </c>
      <c r="R664" s="382">
        <v>1650.93</v>
      </c>
      <c r="S664" s="380">
        <f t="shared" si="141"/>
        <v>19811.16</v>
      </c>
      <c r="T664" s="628"/>
      <c r="U664" s="630"/>
    </row>
    <row r="665" spans="1:21">
      <c r="A665" s="638" t="s">
        <v>1148</v>
      </c>
      <c r="B665" s="641">
        <v>26395</v>
      </c>
      <c r="C665" s="642" t="s">
        <v>1149</v>
      </c>
      <c r="D665" s="645" t="s">
        <v>1150</v>
      </c>
      <c r="E665" s="648">
        <v>43400</v>
      </c>
      <c r="F665" s="373" t="s">
        <v>1093</v>
      </c>
      <c r="G665" s="392">
        <v>15904.5</v>
      </c>
      <c r="H665" s="392">
        <v>15904.5</v>
      </c>
      <c r="I665" s="392">
        <v>15904.5</v>
      </c>
      <c r="J665" s="392">
        <v>15904.5</v>
      </c>
      <c r="K665" s="392">
        <v>15904.5</v>
      </c>
      <c r="L665" s="392">
        <v>15904.5</v>
      </c>
      <c r="M665" s="392">
        <v>15904.5</v>
      </c>
      <c r="N665" s="392">
        <v>15904.5</v>
      </c>
      <c r="O665" s="392">
        <v>15904.5</v>
      </c>
      <c r="P665" s="374" t="s">
        <v>334</v>
      </c>
      <c r="Q665" s="374" t="s">
        <v>334</v>
      </c>
      <c r="R665" s="374" t="s">
        <v>334</v>
      </c>
      <c r="S665" s="376">
        <f t="shared" si="141"/>
        <v>143140.5</v>
      </c>
      <c r="T665" s="626">
        <f>SUM(S665:S667)</f>
        <v>238567.51499999998</v>
      </c>
      <c r="U665" s="647" t="s">
        <v>1135</v>
      </c>
    </row>
    <row r="666" spans="1:21">
      <c r="A666" s="639"/>
      <c r="B666" s="627"/>
      <c r="C666" s="643"/>
      <c r="D666" s="627"/>
      <c r="E666" s="627"/>
      <c r="F666" s="373" t="s">
        <v>1095</v>
      </c>
      <c r="G666" s="374" t="s">
        <v>334</v>
      </c>
      <c r="H666" s="374" t="s">
        <v>334</v>
      </c>
      <c r="I666" s="374" t="s">
        <v>334</v>
      </c>
      <c r="J666" s="374" t="s">
        <v>334</v>
      </c>
      <c r="K666" s="374" t="s">
        <v>334</v>
      </c>
      <c r="L666" s="374" t="s">
        <v>334</v>
      </c>
      <c r="M666" s="374" t="s">
        <v>334</v>
      </c>
      <c r="N666" s="374" t="s">
        <v>334</v>
      </c>
      <c r="O666" s="374" t="s">
        <v>334</v>
      </c>
      <c r="P666" s="392">
        <v>15904.5</v>
      </c>
      <c r="Q666" s="392">
        <v>15904.5</v>
      </c>
      <c r="R666" s="392">
        <v>15904.5</v>
      </c>
      <c r="S666" s="380">
        <f t="shared" si="141"/>
        <v>47713.5</v>
      </c>
      <c r="T666" s="627"/>
      <c r="U666" s="630"/>
    </row>
    <row r="667" spans="1:21">
      <c r="A667" s="640"/>
      <c r="B667" s="628"/>
      <c r="C667" s="644"/>
      <c r="D667" s="628"/>
      <c r="E667" s="628"/>
      <c r="F667" s="378" t="s">
        <v>1096</v>
      </c>
      <c r="G667" s="379">
        <f t="shared" ref="G667:O667" si="151">G665*25/100</f>
        <v>3976.125</v>
      </c>
      <c r="H667" s="379">
        <f t="shared" si="151"/>
        <v>3976.125</v>
      </c>
      <c r="I667" s="379">
        <f t="shared" si="151"/>
        <v>3976.125</v>
      </c>
      <c r="J667" s="379">
        <f t="shared" si="151"/>
        <v>3976.125</v>
      </c>
      <c r="K667" s="379">
        <f t="shared" si="151"/>
        <v>3976.125</v>
      </c>
      <c r="L667" s="379">
        <f t="shared" si="151"/>
        <v>3976.125</v>
      </c>
      <c r="M667" s="379">
        <f t="shared" si="151"/>
        <v>3976.125</v>
      </c>
      <c r="N667" s="379">
        <f t="shared" si="151"/>
        <v>3976.125</v>
      </c>
      <c r="O667" s="379">
        <f t="shared" si="151"/>
        <v>3976.125</v>
      </c>
      <c r="P667" s="382">
        <v>3976.13</v>
      </c>
      <c r="Q667" s="382">
        <v>3976.13</v>
      </c>
      <c r="R667" s="382">
        <v>3976.13</v>
      </c>
      <c r="S667" s="380">
        <f t="shared" si="141"/>
        <v>47713.514999999992</v>
      </c>
      <c r="T667" s="628"/>
      <c r="U667" s="630"/>
    </row>
    <row r="668" spans="1:21">
      <c r="A668" s="638" t="s">
        <v>1148</v>
      </c>
      <c r="B668" s="641">
        <v>26344</v>
      </c>
      <c r="C668" s="642" t="s">
        <v>1151</v>
      </c>
      <c r="D668" s="645" t="s">
        <v>1150</v>
      </c>
      <c r="E668" s="648">
        <v>43400</v>
      </c>
      <c r="F668" s="373" t="s">
        <v>1093</v>
      </c>
      <c r="G668" s="392">
        <v>4308.5</v>
      </c>
      <c r="H668" s="392">
        <v>4308.5</v>
      </c>
      <c r="I668" s="392">
        <v>4308.5</v>
      </c>
      <c r="J668" s="392">
        <v>4308.5</v>
      </c>
      <c r="K668" s="392">
        <v>4308.5</v>
      </c>
      <c r="L668" s="392">
        <v>4308.5</v>
      </c>
      <c r="M668" s="392">
        <v>4308.5</v>
      </c>
      <c r="N668" s="392">
        <v>4308.5</v>
      </c>
      <c r="O668" s="392">
        <v>4308.5</v>
      </c>
      <c r="P668" s="374"/>
      <c r="Q668" s="374"/>
      <c r="R668" s="374"/>
      <c r="S668" s="376">
        <f t="shared" si="141"/>
        <v>38776.5</v>
      </c>
      <c r="T668" s="626">
        <f>SUM(S668:S670)</f>
        <v>64627.514999999999</v>
      </c>
      <c r="U668" s="647" t="s">
        <v>1135</v>
      </c>
    </row>
    <row r="669" spans="1:21">
      <c r="A669" s="639"/>
      <c r="B669" s="627"/>
      <c r="C669" s="643"/>
      <c r="D669" s="627"/>
      <c r="E669" s="627"/>
      <c r="F669" s="373" t="s">
        <v>1095</v>
      </c>
      <c r="G669" s="374" t="s">
        <v>334</v>
      </c>
      <c r="H669" s="374" t="s">
        <v>334</v>
      </c>
      <c r="I669" s="374" t="s">
        <v>334</v>
      </c>
      <c r="J669" s="374" t="s">
        <v>334</v>
      </c>
      <c r="K669" s="374" t="s">
        <v>334</v>
      </c>
      <c r="L669" s="374" t="s">
        <v>334</v>
      </c>
      <c r="M669" s="374" t="s">
        <v>334</v>
      </c>
      <c r="N669" s="374" t="s">
        <v>334</v>
      </c>
      <c r="O669" s="374" t="s">
        <v>334</v>
      </c>
      <c r="P669" s="392">
        <v>4308.5</v>
      </c>
      <c r="Q669" s="392">
        <v>4308.5</v>
      </c>
      <c r="R669" s="392">
        <v>4308.5</v>
      </c>
      <c r="S669" s="380">
        <f t="shared" si="141"/>
        <v>12925.5</v>
      </c>
      <c r="T669" s="627"/>
      <c r="U669" s="630"/>
    </row>
    <row r="670" spans="1:21">
      <c r="A670" s="640"/>
      <c r="B670" s="628"/>
      <c r="C670" s="644"/>
      <c r="D670" s="628"/>
      <c r="E670" s="628"/>
      <c r="F670" s="378" t="s">
        <v>1096</v>
      </c>
      <c r="G670" s="379">
        <f t="shared" ref="G670:O670" si="152">G668*25/100</f>
        <v>1077.125</v>
      </c>
      <c r="H670" s="379">
        <f t="shared" si="152"/>
        <v>1077.125</v>
      </c>
      <c r="I670" s="379">
        <f t="shared" si="152"/>
        <v>1077.125</v>
      </c>
      <c r="J670" s="379">
        <f t="shared" si="152"/>
        <v>1077.125</v>
      </c>
      <c r="K670" s="379">
        <f t="shared" si="152"/>
        <v>1077.125</v>
      </c>
      <c r="L670" s="379">
        <f t="shared" si="152"/>
        <v>1077.125</v>
      </c>
      <c r="M670" s="379">
        <f t="shared" si="152"/>
        <v>1077.125</v>
      </c>
      <c r="N670" s="379">
        <f t="shared" si="152"/>
        <v>1077.125</v>
      </c>
      <c r="O670" s="379">
        <f t="shared" si="152"/>
        <v>1077.125</v>
      </c>
      <c r="P670" s="382">
        <v>1077.1300000000001</v>
      </c>
      <c r="Q670" s="382">
        <v>1077.1300000000001</v>
      </c>
      <c r="R670" s="382">
        <v>1077.1300000000001</v>
      </c>
      <c r="S670" s="380">
        <f t="shared" si="141"/>
        <v>12925.515000000003</v>
      </c>
      <c r="T670" s="628"/>
      <c r="U670" s="630"/>
    </row>
    <row r="671" spans="1:21">
      <c r="A671" s="638" t="s">
        <v>1152</v>
      </c>
      <c r="B671" s="641">
        <v>26115</v>
      </c>
      <c r="C671" s="642" t="s">
        <v>1153</v>
      </c>
      <c r="D671" s="645" t="s">
        <v>1154</v>
      </c>
      <c r="E671" s="648">
        <v>43706</v>
      </c>
      <c r="F671" s="373" t="s">
        <v>1093</v>
      </c>
      <c r="G671" s="374">
        <v>2557.63</v>
      </c>
      <c r="H671" s="374">
        <v>2557.63</v>
      </c>
      <c r="I671" s="374">
        <v>2557.63</v>
      </c>
      <c r="J671" s="374">
        <v>2557.63</v>
      </c>
      <c r="K671" s="374">
        <v>2557.63</v>
      </c>
      <c r="L671" s="374">
        <v>2557.63</v>
      </c>
      <c r="M671" s="374">
        <v>2557.63</v>
      </c>
      <c r="N671" s="374">
        <v>2557.63</v>
      </c>
      <c r="O671" s="374" t="s">
        <v>334</v>
      </c>
      <c r="P671" s="377" t="s">
        <v>334</v>
      </c>
      <c r="Q671" s="377" t="s">
        <v>334</v>
      </c>
      <c r="R671" s="377" t="s">
        <v>334</v>
      </c>
      <c r="S671" s="380">
        <f t="shared" si="141"/>
        <v>20461.040000000005</v>
      </c>
      <c r="T671" s="626">
        <f>SUM(S671:S673)</f>
        <v>38364.460000000006</v>
      </c>
      <c r="U671" s="647" t="s">
        <v>1135</v>
      </c>
    </row>
    <row r="672" spans="1:21">
      <c r="A672" s="639"/>
      <c r="B672" s="627"/>
      <c r="C672" s="643"/>
      <c r="D672" s="627"/>
      <c r="E672" s="627"/>
      <c r="F672" s="373" t="s">
        <v>1095</v>
      </c>
      <c r="G672" s="377" t="s">
        <v>334</v>
      </c>
      <c r="H672" s="377" t="s">
        <v>334</v>
      </c>
      <c r="I672" s="377" t="s">
        <v>334</v>
      </c>
      <c r="J672" s="377" t="s">
        <v>334</v>
      </c>
      <c r="K672" s="377" t="s">
        <v>334</v>
      </c>
      <c r="L672" s="377" t="s">
        <v>334</v>
      </c>
      <c r="M672" s="377" t="s">
        <v>334</v>
      </c>
      <c r="N672" s="374" t="s">
        <v>334</v>
      </c>
      <c r="O672" s="374">
        <v>2557.63</v>
      </c>
      <c r="P672" s="374">
        <v>2557.63</v>
      </c>
      <c r="Q672" s="374">
        <v>2557.63</v>
      </c>
      <c r="R672" s="374">
        <v>2557.63</v>
      </c>
      <c r="S672" s="380">
        <f t="shared" si="141"/>
        <v>10230.52</v>
      </c>
      <c r="T672" s="627"/>
      <c r="U672" s="630"/>
    </row>
    <row r="673" spans="1:21">
      <c r="A673" s="640"/>
      <c r="B673" s="628"/>
      <c r="C673" s="644"/>
      <c r="D673" s="628"/>
      <c r="E673" s="628"/>
      <c r="F673" s="378" t="s">
        <v>1096</v>
      </c>
      <c r="G673" s="379">
        <f t="shared" ref="G673:N673" si="153">G671*25/100</f>
        <v>639.40750000000003</v>
      </c>
      <c r="H673" s="379">
        <f t="shared" si="153"/>
        <v>639.40750000000003</v>
      </c>
      <c r="I673" s="379">
        <f t="shared" si="153"/>
        <v>639.40750000000003</v>
      </c>
      <c r="J673" s="379">
        <f t="shared" si="153"/>
        <v>639.40750000000003</v>
      </c>
      <c r="K673" s="379">
        <f t="shared" si="153"/>
        <v>639.40750000000003</v>
      </c>
      <c r="L673" s="379">
        <f t="shared" si="153"/>
        <v>639.40750000000003</v>
      </c>
      <c r="M673" s="379">
        <f t="shared" si="153"/>
        <v>639.40750000000003</v>
      </c>
      <c r="N673" s="379">
        <f t="shared" si="153"/>
        <v>639.40750000000003</v>
      </c>
      <c r="O673" s="395">
        <v>639.41</v>
      </c>
      <c r="P673" s="395">
        <v>639.41</v>
      </c>
      <c r="Q673" s="395">
        <v>639.41</v>
      </c>
      <c r="R673" s="395">
        <v>639.41</v>
      </c>
      <c r="S673" s="380">
        <f t="shared" si="141"/>
        <v>7672.9000000000005</v>
      </c>
      <c r="T673" s="628"/>
      <c r="U673" s="630"/>
    </row>
    <row r="674" spans="1:21">
      <c r="A674" s="638" t="s">
        <v>1155</v>
      </c>
      <c r="B674" s="641">
        <v>17426</v>
      </c>
      <c r="C674" s="642" t="s">
        <v>1156</v>
      </c>
      <c r="D674" s="645" t="s">
        <v>1157</v>
      </c>
      <c r="E674" s="648">
        <v>43465</v>
      </c>
      <c r="F674" s="373" t="s">
        <v>1093</v>
      </c>
      <c r="G674" s="374">
        <v>16666.666666666668</v>
      </c>
      <c r="H674" s="374">
        <v>16666.666666666668</v>
      </c>
      <c r="I674" s="374">
        <v>16666.666666666668</v>
      </c>
      <c r="J674" s="374">
        <v>16666.666666666668</v>
      </c>
      <c r="K674" s="374" t="s">
        <v>334</v>
      </c>
      <c r="L674" s="374" t="s">
        <v>334</v>
      </c>
      <c r="M674" s="374" t="s">
        <v>334</v>
      </c>
      <c r="N674" s="374" t="s">
        <v>334</v>
      </c>
      <c r="O674" s="374" t="s">
        <v>334</v>
      </c>
      <c r="P674" s="374" t="s">
        <v>334</v>
      </c>
      <c r="Q674" s="374" t="s">
        <v>334</v>
      </c>
      <c r="R674" s="374" t="s">
        <v>334</v>
      </c>
      <c r="S674" s="376">
        <f t="shared" si="141"/>
        <v>66666.666666666672</v>
      </c>
      <c r="T674" s="626">
        <f>SUM(S674:S676)</f>
        <v>250000.02666666667</v>
      </c>
      <c r="U674" s="647" t="s">
        <v>1158</v>
      </c>
    </row>
    <row r="675" spans="1:21">
      <c r="A675" s="639"/>
      <c r="B675" s="627"/>
      <c r="C675" s="643"/>
      <c r="D675" s="627"/>
      <c r="E675" s="627"/>
      <c r="F675" s="373" t="s">
        <v>1095</v>
      </c>
      <c r="G675" s="377" t="s">
        <v>334</v>
      </c>
      <c r="H675" s="377" t="s">
        <v>334</v>
      </c>
      <c r="I675" s="377" t="s">
        <v>334</v>
      </c>
      <c r="J675" s="377" t="s">
        <v>334</v>
      </c>
      <c r="K675" s="377">
        <f t="shared" ref="K675:R675" si="154">200000/12</f>
        <v>16666.666666666668</v>
      </c>
      <c r="L675" s="377">
        <f t="shared" si="154"/>
        <v>16666.666666666668</v>
      </c>
      <c r="M675" s="377">
        <f t="shared" si="154"/>
        <v>16666.666666666668</v>
      </c>
      <c r="N675" s="374">
        <f t="shared" si="154"/>
        <v>16666.666666666668</v>
      </c>
      <c r="O675" s="374">
        <f t="shared" si="154"/>
        <v>16666.666666666668</v>
      </c>
      <c r="P675" s="374">
        <f t="shared" si="154"/>
        <v>16666.666666666668</v>
      </c>
      <c r="Q675" s="374">
        <f t="shared" si="154"/>
        <v>16666.666666666668</v>
      </c>
      <c r="R675" s="374">
        <f t="shared" si="154"/>
        <v>16666.666666666668</v>
      </c>
      <c r="S675" s="376">
        <f t="shared" si="141"/>
        <v>133333.33333333334</v>
      </c>
      <c r="T675" s="627"/>
      <c r="U675" s="630"/>
    </row>
    <row r="676" spans="1:21">
      <c r="A676" s="640"/>
      <c r="B676" s="628"/>
      <c r="C676" s="644"/>
      <c r="D676" s="628"/>
      <c r="E676" s="628"/>
      <c r="F676" s="378" t="s">
        <v>1159</v>
      </c>
      <c r="G676" s="379">
        <f t="shared" ref="G676:J676" si="155">G674*25/100</f>
        <v>4166.666666666667</v>
      </c>
      <c r="H676" s="379">
        <f t="shared" si="155"/>
        <v>4166.666666666667</v>
      </c>
      <c r="I676" s="379">
        <f t="shared" si="155"/>
        <v>4166.666666666667</v>
      </c>
      <c r="J676" s="379">
        <f t="shared" si="155"/>
        <v>4166.666666666667</v>
      </c>
      <c r="K676" s="379">
        <v>4166.67</v>
      </c>
      <c r="L676" s="379">
        <v>4166.67</v>
      </c>
      <c r="M676" s="379">
        <v>4166.67</v>
      </c>
      <c r="N676" s="379">
        <v>4166.67</v>
      </c>
      <c r="O676" s="379">
        <v>4166.67</v>
      </c>
      <c r="P676" s="379">
        <v>4166.67</v>
      </c>
      <c r="Q676" s="379">
        <v>4166.67</v>
      </c>
      <c r="R676" s="379">
        <v>4166.67</v>
      </c>
      <c r="S676" s="380">
        <f t="shared" si="141"/>
        <v>50000.026666666658</v>
      </c>
      <c r="T676" s="628"/>
      <c r="U676" s="630"/>
    </row>
    <row r="677" spans="1:21">
      <c r="A677" s="638" t="s">
        <v>1160</v>
      </c>
      <c r="B677" s="641">
        <v>3557</v>
      </c>
      <c r="C677" s="642" t="s">
        <v>1161</v>
      </c>
      <c r="D677" s="645" t="s">
        <v>1162</v>
      </c>
      <c r="E677" s="648">
        <v>43532</v>
      </c>
      <c r="F677" s="373" t="s">
        <v>1093</v>
      </c>
      <c r="G677" s="374">
        <v>882</v>
      </c>
      <c r="H677" s="374">
        <v>882</v>
      </c>
      <c r="I677" s="374"/>
      <c r="J677" s="374"/>
      <c r="K677" s="374"/>
      <c r="L677" s="374"/>
      <c r="M677" s="374"/>
      <c r="N677" s="374"/>
      <c r="O677" s="374"/>
      <c r="P677" s="377"/>
      <c r="Q677" s="377"/>
      <c r="R677" s="377"/>
      <c r="S677" s="383">
        <f t="shared" si="141"/>
        <v>1764</v>
      </c>
      <c r="T677" s="649">
        <f>SUM(S677:S679)</f>
        <v>11466</v>
      </c>
      <c r="U677" s="629" t="s">
        <v>1135</v>
      </c>
    </row>
    <row r="678" spans="1:21">
      <c r="A678" s="639"/>
      <c r="B678" s="627"/>
      <c r="C678" s="643"/>
      <c r="D678" s="627"/>
      <c r="E678" s="627"/>
      <c r="F678" s="373" t="s">
        <v>1095</v>
      </c>
      <c r="G678" s="377"/>
      <c r="H678" s="377"/>
      <c r="I678" s="377">
        <v>882</v>
      </c>
      <c r="J678" s="377">
        <v>882</v>
      </c>
      <c r="K678" s="377">
        <v>882</v>
      </c>
      <c r="L678" s="377">
        <v>882</v>
      </c>
      <c r="M678" s="377">
        <v>882</v>
      </c>
      <c r="N678" s="377">
        <v>882</v>
      </c>
      <c r="O678" s="377">
        <v>882</v>
      </c>
      <c r="P678" s="377">
        <v>882</v>
      </c>
      <c r="Q678" s="377">
        <v>882</v>
      </c>
      <c r="R678" s="377">
        <v>882</v>
      </c>
      <c r="S678" s="383">
        <f t="shared" si="141"/>
        <v>8820</v>
      </c>
      <c r="T678" s="627"/>
      <c r="U678" s="630"/>
    </row>
    <row r="679" spans="1:21">
      <c r="A679" s="640"/>
      <c r="B679" s="628"/>
      <c r="C679" s="644"/>
      <c r="D679" s="628"/>
      <c r="E679" s="628"/>
      <c r="F679" s="378" t="s">
        <v>1096</v>
      </c>
      <c r="G679" s="379"/>
      <c r="H679" s="395"/>
      <c r="I679" s="382">
        <f>I678*10%</f>
        <v>88.2</v>
      </c>
      <c r="J679" s="382">
        <f t="shared" ref="J679:R679" si="156">J678*10%</f>
        <v>88.2</v>
      </c>
      <c r="K679" s="382">
        <f t="shared" si="156"/>
        <v>88.2</v>
      </c>
      <c r="L679" s="382">
        <f t="shared" si="156"/>
        <v>88.2</v>
      </c>
      <c r="M679" s="382">
        <f t="shared" si="156"/>
        <v>88.2</v>
      </c>
      <c r="N679" s="382">
        <f t="shared" si="156"/>
        <v>88.2</v>
      </c>
      <c r="O679" s="382">
        <f t="shared" si="156"/>
        <v>88.2</v>
      </c>
      <c r="P679" s="382">
        <f t="shared" si="156"/>
        <v>88.2</v>
      </c>
      <c r="Q679" s="382">
        <f t="shared" si="156"/>
        <v>88.2</v>
      </c>
      <c r="R679" s="382">
        <f t="shared" si="156"/>
        <v>88.2</v>
      </c>
      <c r="S679" s="383">
        <f t="shared" si="141"/>
        <v>882.00000000000023</v>
      </c>
      <c r="T679" s="628"/>
      <c r="U679" s="630"/>
    </row>
    <row r="680" spans="1:21">
      <c r="A680" s="384" t="s">
        <v>1163</v>
      </c>
      <c r="B680" s="385">
        <v>16195</v>
      </c>
      <c r="C680" s="386" t="s">
        <v>1164</v>
      </c>
      <c r="D680" s="387" t="s">
        <v>334</v>
      </c>
      <c r="E680" s="397" t="s">
        <v>1165</v>
      </c>
      <c r="F680" s="397" t="s">
        <v>1113</v>
      </c>
      <c r="G680" s="398" t="s">
        <v>334</v>
      </c>
      <c r="H680" s="398" t="s">
        <v>334</v>
      </c>
      <c r="I680" s="398" t="s">
        <v>334</v>
      </c>
      <c r="J680" s="399">
        <v>15000</v>
      </c>
      <c r="K680" s="398" t="s">
        <v>334</v>
      </c>
      <c r="L680" s="398" t="s">
        <v>334</v>
      </c>
      <c r="M680" s="398" t="s">
        <v>334</v>
      </c>
      <c r="N680" s="398" t="s">
        <v>334</v>
      </c>
      <c r="O680" s="398" t="s">
        <v>334</v>
      </c>
      <c r="P680" s="398" t="s">
        <v>334</v>
      </c>
      <c r="Q680" s="398" t="s">
        <v>334</v>
      </c>
      <c r="R680" s="398" t="s">
        <v>334</v>
      </c>
      <c r="S680" s="380">
        <f t="shared" si="141"/>
        <v>15000</v>
      </c>
      <c r="T680" s="380">
        <f t="shared" ref="T680:T682" si="157">SUM(S680)</f>
        <v>15000</v>
      </c>
      <c r="U680" s="390" t="s">
        <v>1166</v>
      </c>
    </row>
    <row r="681" spans="1:21" ht="30">
      <c r="A681" s="384" t="s">
        <v>1167</v>
      </c>
      <c r="B681" s="385">
        <v>16195</v>
      </c>
      <c r="C681" s="386" t="s">
        <v>1168</v>
      </c>
      <c r="D681" s="387" t="s">
        <v>334</v>
      </c>
      <c r="E681" s="397" t="s">
        <v>1165</v>
      </c>
      <c r="F681" s="397" t="s">
        <v>1113</v>
      </c>
      <c r="G681" s="398" t="s">
        <v>334</v>
      </c>
      <c r="H681" s="398" t="s">
        <v>334</v>
      </c>
      <c r="I681" s="399">
        <v>1000</v>
      </c>
      <c r="J681" s="398" t="s">
        <v>334</v>
      </c>
      <c r="K681" s="398" t="s">
        <v>334</v>
      </c>
      <c r="L681" s="398" t="s">
        <v>334</v>
      </c>
      <c r="M681" s="398" t="s">
        <v>334</v>
      </c>
      <c r="N681" s="398" t="s">
        <v>334</v>
      </c>
      <c r="O681" s="398" t="s">
        <v>334</v>
      </c>
      <c r="P681" s="398" t="s">
        <v>334</v>
      </c>
      <c r="Q681" s="398" t="s">
        <v>334</v>
      </c>
      <c r="R681" s="398" t="s">
        <v>334</v>
      </c>
      <c r="S681" s="380">
        <f t="shared" si="141"/>
        <v>1000</v>
      </c>
      <c r="T681" s="380">
        <f t="shared" si="157"/>
        <v>1000</v>
      </c>
      <c r="U681" s="390" t="s">
        <v>1166</v>
      </c>
    </row>
    <row r="682" spans="1:21" ht="30">
      <c r="A682" s="384" t="s">
        <v>1169</v>
      </c>
      <c r="B682" s="385">
        <v>906</v>
      </c>
      <c r="C682" s="386" t="s">
        <v>1170</v>
      </c>
      <c r="D682" s="387" t="s">
        <v>1171</v>
      </c>
      <c r="E682" s="400">
        <v>43900</v>
      </c>
      <c r="F682" s="397" t="s">
        <v>1113</v>
      </c>
      <c r="G682" s="379" t="s">
        <v>334</v>
      </c>
      <c r="H682" s="379" t="s">
        <v>334</v>
      </c>
      <c r="I682" s="379">
        <v>17500</v>
      </c>
      <c r="J682" s="395" t="s">
        <v>334</v>
      </c>
      <c r="K682" s="395" t="s">
        <v>334</v>
      </c>
      <c r="L682" s="395" t="s">
        <v>334</v>
      </c>
      <c r="M682" s="395" t="s">
        <v>334</v>
      </c>
      <c r="N682" s="395" t="s">
        <v>334</v>
      </c>
      <c r="O682" s="395" t="s">
        <v>334</v>
      </c>
      <c r="P682" s="395" t="s">
        <v>334</v>
      </c>
      <c r="Q682" s="395" t="s">
        <v>334</v>
      </c>
      <c r="R682" s="395" t="s">
        <v>334</v>
      </c>
      <c r="S682" s="380">
        <f t="shared" si="141"/>
        <v>17500</v>
      </c>
      <c r="T682" s="380">
        <f t="shared" si="157"/>
        <v>17500</v>
      </c>
      <c r="U682" s="390" t="s">
        <v>1166</v>
      </c>
    </row>
    <row r="683" spans="1:21">
      <c r="A683" s="638" t="s">
        <v>1172</v>
      </c>
      <c r="B683" s="641">
        <v>17426</v>
      </c>
      <c r="C683" s="642" t="s">
        <v>1173</v>
      </c>
      <c r="D683" s="645" t="s">
        <v>1174</v>
      </c>
      <c r="E683" s="646">
        <v>44280</v>
      </c>
      <c r="F683" s="373" t="s">
        <v>1093</v>
      </c>
      <c r="G683" s="379">
        <v>3900</v>
      </c>
      <c r="H683" s="379">
        <v>3900</v>
      </c>
      <c r="I683" s="379">
        <v>3900</v>
      </c>
      <c r="J683" s="379">
        <v>3900</v>
      </c>
      <c r="K683" s="379">
        <v>3900</v>
      </c>
      <c r="L683" s="379">
        <v>3900</v>
      </c>
      <c r="M683" s="379">
        <v>3900</v>
      </c>
      <c r="N683" s="379">
        <v>3900</v>
      </c>
      <c r="O683" s="379">
        <v>3900</v>
      </c>
      <c r="P683" s="379" t="s">
        <v>334</v>
      </c>
      <c r="Q683" s="379" t="s">
        <v>334</v>
      </c>
      <c r="R683" s="379" t="s">
        <v>334</v>
      </c>
      <c r="S683" s="380">
        <f t="shared" si="141"/>
        <v>35100</v>
      </c>
      <c r="T683" s="626">
        <f>SUM(S683:S685)</f>
        <v>51480</v>
      </c>
      <c r="U683" s="629" t="s">
        <v>1175</v>
      </c>
    </row>
    <row r="684" spans="1:21">
      <c r="A684" s="639"/>
      <c r="B684" s="627"/>
      <c r="C684" s="643"/>
      <c r="D684" s="627"/>
      <c r="E684" s="627"/>
      <c r="F684" s="373" t="s">
        <v>1095</v>
      </c>
      <c r="G684" s="379" t="s">
        <v>334</v>
      </c>
      <c r="H684" s="379" t="s">
        <v>334</v>
      </c>
      <c r="I684" s="379" t="s">
        <v>334</v>
      </c>
      <c r="J684" s="379" t="s">
        <v>334</v>
      </c>
      <c r="K684" s="379" t="s">
        <v>334</v>
      </c>
      <c r="L684" s="379" t="s">
        <v>334</v>
      </c>
      <c r="M684" s="379" t="s">
        <v>334</v>
      </c>
      <c r="N684" s="379" t="s">
        <v>334</v>
      </c>
      <c r="O684" s="379" t="s">
        <v>334</v>
      </c>
      <c r="P684" s="379">
        <v>3900</v>
      </c>
      <c r="Q684" s="379">
        <v>3900</v>
      </c>
      <c r="R684" s="379">
        <v>3900</v>
      </c>
      <c r="S684" s="401">
        <f t="shared" si="141"/>
        <v>11700</v>
      </c>
      <c r="T684" s="627"/>
      <c r="U684" s="630"/>
    </row>
    <row r="685" spans="1:21">
      <c r="A685" s="640"/>
      <c r="B685" s="628"/>
      <c r="C685" s="644"/>
      <c r="D685" s="628"/>
      <c r="E685" s="628"/>
      <c r="F685" s="397" t="s">
        <v>1159</v>
      </c>
      <c r="G685" s="379">
        <f t="shared" ref="G685:O685" si="158">G683*10/100</f>
        <v>390</v>
      </c>
      <c r="H685" s="379">
        <f t="shared" si="158"/>
        <v>390</v>
      </c>
      <c r="I685" s="379">
        <f t="shared" si="158"/>
        <v>390</v>
      </c>
      <c r="J685" s="379">
        <f t="shared" si="158"/>
        <v>390</v>
      </c>
      <c r="K685" s="379">
        <f t="shared" si="158"/>
        <v>390</v>
      </c>
      <c r="L685" s="379">
        <f t="shared" si="158"/>
        <v>390</v>
      </c>
      <c r="M685" s="379">
        <f t="shared" si="158"/>
        <v>390</v>
      </c>
      <c r="N685" s="379">
        <f t="shared" si="158"/>
        <v>390</v>
      </c>
      <c r="O685" s="379">
        <f t="shared" si="158"/>
        <v>390</v>
      </c>
      <c r="P685" s="379">
        <v>390</v>
      </c>
      <c r="Q685" s="379">
        <v>390</v>
      </c>
      <c r="R685" s="379">
        <v>390</v>
      </c>
      <c r="S685" s="401">
        <f t="shared" si="141"/>
        <v>4680</v>
      </c>
      <c r="T685" s="628"/>
      <c r="U685" s="630"/>
    </row>
    <row r="686" spans="1:21">
      <c r="A686" s="384" t="s">
        <v>1176</v>
      </c>
      <c r="B686" s="385">
        <v>906</v>
      </c>
      <c r="C686" s="386" t="s">
        <v>1177</v>
      </c>
      <c r="D686" s="387" t="s">
        <v>1178</v>
      </c>
      <c r="E686" s="400">
        <v>44130</v>
      </c>
      <c r="F686" s="397" t="s">
        <v>1113</v>
      </c>
      <c r="G686" s="379" t="s">
        <v>334</v>
      </c>
      <c r="H686" s="395" t="s">
        <v>334</v>
      </c>
      <c r="I686" s="395" t="s">
        <v>334</v>
      </c>
      <c r="J686" s="395" t="s">
        <v>334</v>
      </c>
      <c r="K686" s="395" t="s">
        <v>334</v>
      </c>
      <c r="L686" s="395" t="s">
        <v>334</v>
      </c>
      <c r="M686" s="395" t="s">
        <v>334</v>
      </c>
      <c r="N686" s="395" t="s">
        <v>334</v>
      </c>
      <c r="O686" s="395" t="s">
        <v>334</v>
      </c>
      <c r="P686" s="379">
        <v>10000</v>
      </c>
      <c r="Q686" s="395" t="s">
        <v>334</v>
      </c>
      <c r="R686" s="395" t="s">
        <v>334</v>
      </c>
      <c r="S686" s="380">
        <f t="shared" si="141"/>
        <v>10000</v>
      </c>
      <c r="T686" s="383">
        <f>SUM(S686)</f>
        <v>10000</v>
      </c>
      <c r="U686" s="390" t="s">
        <v>1166</v>
      </c>
    </row>
    <row r="687" spans="1:21">
      <c r="A687" s="638"/>
      <c r="B687" s="641">
        <v>1627</v>
      </c>
      <c r="C687" s="642" t="s">
        <v>1179</v>
      </c>
      <c r="D687" s="645"/>
      <c r="E687" s="646"/>
      <c r="F687" s="373" t="s">
        <v>1093</v>
      </c>
      <c r="G687" s="379">
        <v>14200</v>
      </c>
      <c r="H687" s="379">
        <v>14200</v>
      </c>
      <c r="I687" s="379">
        <v>14200</v>
      </c>
      <c r="J687" s="379">
        <v>14200</v>
      </c>
      <c r="K687" s="379">
        <v>14200</v>
      </c>
      <c r="L687" s="379">
        <v>14200</v>
      </c>
      <c r="M687" s="379">
        <v>14200</v>
      </c>
      <c r="N687" s="379">
        <v>14200</v>
      </c>
      <c r="O687" s="379">
        <v>14200</v>
      </c>
      <c r="P687" s="379">
        <v>14200</v>
      </c>
      <c r="Q687" s="379">
        <v>14200</v>
      </c>
      <c r="R687" s="379"/>
      <c r="S687" s="380">
        <f t="shared" si="141"/>
        <v>156200</v>
      </c>
      <c r="T687" s="626">
        <f>SUM(S687:S689)</f>
        <v>188400</v>
      </c>
      <c r="U687" s="629" t="s">
        <v>1166</v>
      </c>
    </row>
    <row r="688" spans="1:21">
      <c r="A688" s="639"/>
      <c r="B688" s="627"/>
      <c r="C688" s="643"/>
      <c r="D688" s="627"/>
      <c r="E688" s="627"/>
      <c r="F688" s="373" t="s">
        <v>1095</v>
      </c>
      <c r="G688" s="379"/>
      <c r="H688" s="379"/>
      <c r="I688" s="379"/>
      <c r="J688" s="379"/>
      <c r="K688" s="379"/>
      <c r="L688" s="379"/>
      <c r="M688" s="379"/>
      <c r="N688" s="379"/>
      <c r="O688" s="379"/>
      <c r="P688" s="379"/>
      <c r="Q688" s="379"/>
      <c r="R688" s="379">
        <v>14200</v>
      </c>
      <c r="S688" s="380">
        <f t="shared" si="141"/>
        <v>14200</v>
      </c>
      <c r="T688" s="627"/>
      <c r="U688" s="630"/>
    </row>
    <row r="689" spans="1:21">
      <c r="A689" s="640"/>
      <c r="B689" s="628"/>
      <c r="C689" s="644"/>
      <c r="D689" s="628"/>
      <c r="E689" s="628"/>
      <c r="F689" s="397" t="s">
        <v>1159</v>
      </c>
      <c r="G689" s="379">
        <v>1500</v>
      </c>
      <c r="H689" s="379">
        <v>1500</v>
      </c>
      <c r="I689" s="379">
        <v>1500</v>
      </c>
      <c r="J689" s="379">
        <v>1500</v>
      </c>
      <c r="K689" s="379">
        <v>1500</v>
      </c>
      <c r="L689" s="379">
        <v>1500</v>
      </c>
      <c r="M689" s="379">
        <v>1500</v>
      </c>
      <c r="N689" s="379">
        <v>1500</v>
      </c>
      <c r="O689" s="379">
        <v>1500</v>
      </c>
      <c r="P689" s="379">
        <v>1500</v>
      </c>
      <c r="Q689" s="379">
        <v>1500</v>
      </c>
      <c r="R689" s="379">
        <v>1500</v>
      </c>
      <c r="S689" s="380">
        <f t="shared" si="141"/>
        <v>18000</v>
      </c>
      <c r="T689" s="628"/>
      <c r="U689" s="630"/>
    </row>
    <row r="690" spans="1:21">
      <c r="A690" s="638"/>
      <c r="B690" s="641">
        <v>1627</v>
      </c>
      <c r="C690" s="642" t="s">
        <v>1180</v>
      </c>
      <c r="D690" s="645"/>
      <c r="E690" s="646"/>
      <c r="F690" s="373" t="s">
        <v>1093</v>
      </c>
      <c r="G690" s="379">
        <v>20000</v>
      </c>
      <c r="H690" s="379">
        <v>20000</v>
      </c>
      <c r="I690" s="379">
        <v>20000</v>
      </c>
      <c r="J690" s="379">
        <v>20000</v>
      </c>
      <c r="K690" s="379">
        <v>20000</v>
      </c>
      <c r="L690" s="379">
        <v>20000</v>
      </c>
      <c r="M690" s="379">
        <v>20000</v>
      </c>
      <c r="N690" s="379">
        <v>20000</v>
      </c>
      <c r="O690" s="379">
        <v>20000</v>
      </c>
      <c r="P690" s="379">
        <v>20000</v>
      </c>
      <c r="Q690" s="379">
        <v>20000</v>
      </c>
      <c r="R690" s="379">
        <v>20000</v>
      </c>
      <c r="S690" s="380">
        <f t="shared" si="141"/>
        <v>240000</v>
      </c>
      <c r="T690" s="626">
        <f>SUM(S690:S692)</f>
        <v>306000</v>
      </c>
      <c r="U690" s="629" t="s">
        <v>1181</v>
      </c>
    </row>
    <row r="691" spans="1:21">
      <c r="A691" s="639"/>
      <c r="B691" s="627"/>
      <c r="C691" s="643"/>
      <c r="D691" s="627"/>
      <c r="E691" s="627"/>
      <c r="F691" s="373" t="s">
        <v>1095</v>
      </c>
      <c r="G691" s="379" t="s">
        <v>334</v>
      </c>
      <c r="H691" s="379" t="s">
        <v>334</v>
      </c>
      <c r="I691" s="379" t="s">
        <v>334</v>
      </c>
      <c r="J691" s="379" t="s">
        <v>334</v>
      </c>
      <c r="K691" s="379" t="s">
        <v>334</v>
      </c>
      <c r="L691" s="379">
        <f>L690*30%</f>
        <v>6000</v>
      </c>
      <c r="M691" s="379">
        <f t="shared" ref="M691:R691" si="159">M690*30%</f>
        <v>6000</v>
      </c>
      <c r="N691" s="379">
        <f t="shared" si="159"/>
        <v>6000</v>
      </c>
      <c r="O691" s="379">
        <f t="shared" si="159"/>
        <v>6000</v>
      </c>
      <c r="P691" s="379">
        <f t="shared" si="159"/>
        <v>6000</v>
      </c>
      <c r="Q691" s="379">
        <f t="shared" si="159"/>
        <v>6000</v>
      </c>
      <c r="R691" s="379">
        <f t="shared" si="159"/>
        <v>6000</v>
      </c>
      <c r="S691" s="380">
        <f t="shared" si="141"/>
        <v>42000</v>
      </c>
      <c r="T691" s="627"/>
      <c r="U691" s="630"/>
    </row>
    <row r="692" spans="1:21">
      <c r="A692" s="640"/>
      <c r="B692" s="628"/>
      <c r="C692" s="644"/>
      <c r="D692" s="628"/>
      <c r="E692" s="628"/>
      <c r="F692" s="397" t="s">
        <v>1159</v>
      </c>
      <c r="G692" s="379">
        <v>2000</v>
      </c>
      <c r="H692" s="379">
        <v>2000</v>
      </c>
      <c r="I692" s="379">
        <v>2000</v>
      </c>
      <c r="J692" s="379">
        <v>2000</v>
      </c>
      <c r="K692" s="379">
        <v>2000</v>
      </c>
      <c r="L692" s="379">
        <v>2000</v>
      </c>
      <c r="M692" s="379">
        <v>2000</v>
      </c>
      <c r="N692" s="379">
        <v>2000</v>
      </c>
      <c r="O692" s="379">
        <v>2000</v>
      </c>
      <c r="P692" s="379">
        <v>2000</v>
      </c>
      <c r="Q692" s="379">
        <v>2000</v>
      </c>
      <c r="R692" s="379">
        <v>2000</v>
      </c>
      <c r="S692" s="380">
        <f t="shared" si="141"/>
        <v>24000</v>
      </c>
      <c r="T692" s="628"/>
      <c r="U692" s="630"/>
    </row>
    <row r="693" spans="1:21">
      <c r="A693" s="402"/>
      <c r="B693" s="403"/>
      <c r="C693" s="404"/>
      <c r="D693" s="405"/>
      <c r="E693" s="403"/>
      <c r="F693" s="403"/>
      <c r="G693" s="403"/>
      <c r="H693" s="403"/>
      <c r="I693" s="403"/>
      <c r="J693" s="403"/>
      <c r="K693" s="403"/>
      <c r="L693" s="403"/>
      <c r="M693" s="403"/>
      <c r="N693" s="403"/>
      <c r="O693" s="403"/>
      <c r="P693" s="403"/>
      <c r="Q693" s="403"/>
      <c r="R693" s="403"/>
      <c r="S693" s="381"/>
      <c r="T693" s="376">
        <f>SUM(T620:T692)</f>
        <v>6044046.3914666642</v>
      </c>
      <c r="U693" s="406"/>
    </row>
    <row r="694" spans="1:21" ht="23.25">
      <c r="A694" s="631" t="s">
        <v>1182</v>
      </c>
      <c r="B694" s="632"/>
      <c r="C694" s="632"/>
      <c r="D694" s="632"/>
      <c r="E694" s="632"/>
      <c r="F694" s="632"/>
      <c r="G694" s="632"/>
      <c r="H694" s="632"/>
      <c r="I694" s="632"/>
      <c r="J694" s="632"/>
      <c r="K694" s="632"/>
      <c r="L694" s="632"/>
      <c r="M694" s="632"/>
      <c r="N694" s="632"/>
      <c r="O694" s="632"/>
      <c r="P694" s="632"/>
      <c r="Q694" s="632"/>
      <c r="R694" s="632"/>
      <c r="S694" s="632"/>
      <c r="T694" s="632"/>
      <c r="U694" s="346"/>
    </row>
    <row r="695" spans="1:21">
      <c r="A695" s="347"/>
      <c r="B695" s="348"/>
      <c r="C695" s="349"/>
      <c r="D695" s="350"/>
      <c r="E695" s="348"/>
      <c r="F695" s="348"/>
      <c r="G695" s="348"/>
      <c r="H695" s="348"/>
      <c r="I695" s="348"/>
      <c r="J695" s="348"/>
      <c r="K695" s="348"/>
      <c r="L695" s="348"/>
      <c r="M695" s="348"/>
      <c r="N695" s="348"/>
      <c r="O695" s="348"/>
      <c r="P695" s="348"/>
      <c r="Q695" s="348"/>
      <c r="R695" s="348"/>
      <c r="S695" s="348"/>
      <c r="T695" s="351"/>
      <c r="U695" s="345"/>
    </row>
    <row r="696" spans="1:21">
      <c r="A696" s="352"/>
      <c r="B696" s="353"/>
      <c r="C696" s="354"/>
      <c r="D696" s="350"/>
      <c r="E696" s="355"/>
      <c r="F696" s="355"/>
      <c r="G696" s="355"/>
      <c r="H696" s="353"/>
      <c r="I696" s="353"/>
      <c r="J696" s="353"/>
      <c r="K696" s="353"/>
      <c r="L696" s="353"/>
      <c r="M696" s="353"/>
      <c r="N696" s="353"/>
      <c r="O696" s="353"/>
      <c r="P696" s="353"/>
      <c r="Q696" s="353"/>
      <c r="R696" s="353"/>
      <c r="S696" s="348"/>
      <c r="T696" s="348"/>
      <c r="U696" s="356"/>
    </row>
    <row r="697" spans="1:21">
      <c r="A697" s="407" t="s">
        <v>1183</v>
      </c>
      <c r="B697" s="408">
        <v>22454</v>
      </c>
      <c r="C697" s="409" t="s">
        <v>1184</v>
      </c>
      <c r="D697" s="410"/>
      <c r="E697" s="411" t="s">
        <v>334</v>
      </c>
      <c r="F697" s="411" t="s">
        <v>1113</v>
      </c>
      <c r="G697" s="412" t="s">
        <v>334</v>
      </c>
      <c r="H697" s="412" t="s">
        <v>334</v>
      </c>
      <c r="I697" s="412" t="s">
        <v>334</v>
      </c>
      <c r="J697" s="412" t="s">
        <v>334</v>
      </c>
      <c r="K697" s="412" t="s">
        <v>334</v>
      </c>
      <c r="L697" s="412">
        <v>180000</v>
      </c>
      <c r="M697" s="412" t="s">
        <v>334</v>
      </c>
      <c r="N697" s="412" t="s">
        <v>334</v>
      </c>
      <c r="O697" s="412" t="s">
        <v>334</v>
      </c>
      <c r="P697" s="412" t="s">
        <v>334</v>
      </c>
      <c r="Q697" s="412" t="s">
        <v>334</v>
      </c>
      <c r="R697" s="412" t="s">
        <v>334</v>
      </c>
      <c r="S697" s="413">
        <f t="shared" ref="S697:S700" si="160">SUM(G697:R697)</f>
        <v>180000</v>
      </c>
      <c r="T697" s="357"/>
      <c r="U697" s="356"/>
    </row>
    <row r="698" spans="1:21">
      <c r="A698" s="407" t="s">
        <v>334</v>
      </c>
      <c r="B698" s="414">
        <v>150425</v>
      </c>
      <c r="C698" s="409" t="s">
        <v>1185</v>
      </c>
      <c r="D698" s="410"/>
      <c r="E698" s="411" t="s">
        <v>334</v>
      </c>
      <c r="F698" s="411" t="s">
        <v>1113</v>
      </c>
      <c r="G698" s="412" t="s">
        <v>334</v>
      </c>
      <c r="H698" s="412" t="s">
        <v>334</v>
      </c>
      <c r="I698" s="412" t="s">
        <v>334</v>
      </c>
      <c r="J698" s="412" t="s">
        <v>334</v>
      </c>
      <c r="K698" s="412" t="s">
        <v>334</v>
      </c>
      <c r="L698" s="412">
        <v>30000</v>
      </c>
      <c r="M698" s="412" t="s">
        <v>334</v>
      </c>
      <c r="N698" s="412" t="s">
        <v>334</v>
      </c>
      <c r="O698" s="412" t="s">
        <v>334</v>
      </c>
      <c r="P698" s="412" t="s">
        <v>334</v>
      </c>
      <c r="Q698" s="412" t="s">
        <v>334</v>
      </c>
      <c r="R698" s="412" t="s">
        <v>334</v>
      </c>
      <c r="S698" s="413">
        <f t="shared" si="160"/>
        <v>30000</v>
      </c>
      <c r="T698" s="357"/>
      <c r="U698" s="356"/>
    </row>
    <row r="699" spans="1:21" ht="30">
      <c r="A699" s="407" t="s">
        <v>334</v>
      </c>
      <c r="B699" s="408">
        <v>5410</v>
      </c>
      <c r="C699" s="409" t="s">
        <v>1186</v>
      </c>
      <c r="D699" s="410"/>
      <c r="E699" s="411" t="s">
        <v>334</v>
      </c>
      <c r="F699" s="411" t="s">
        <v>1113</v>
      </c>
      <c r="G699" s="412" t="s">
        <v>334</v>
      </c>
      <c r="H699" s="412" t="s">
        <v>334</v>
      </c>
      <c r="I699" s="412" t="s">
        <v>334</v>
      </c>
      <c r="J699" s="412" t="s">
        <v>334</v>
      </c>
      <c r="K699" s="412" t="s">
        <v>334</v>
      </c>
      <c r="L699" s="412">
        <v>10000</v>
      </c>
      <c r="M699" s="412" t="s">
        <v>334</v>
      </c>
      <c r="N699" s="412" t="s">
        <v>334</v>
      </c>
      <c r="O699" s="412" t="s">
        <v>334</v>
      </c>
      <c r="P699" s="412" t="s">
        <v>334</v>
      </c>
      <c r="Q699" s="412" t="s">
        <v>334</v>
      </c>
      <c r="R699" s="412" t="s">
        <v>334</v>
      </c>
      <c r="S699" s="413">
        <f t="shared" si="160"/>
        <v>10000</v>
      </c>
      <c r="T699" s="357"/>
      <c r="U699" s="356"/>
    </row>
    <row r="700" spans="1:21">
      <c r="A700" s="407" t="s">
        <v>334</v>
      </c>
      <c r="B700" s="408">
        <v>5380</v>
      </c>
      <c r="C700" s="409" t="s">
        <v>1187</v>
      </c>
      <c r="D700" s="410"/>
      <c r="E700" s="411" t="s">
        <v>334</v>
      </c>
      <c r="F700" s="411" t="s">
        <v>1113</v>
      </c>
      <c r="G700" s="412">
        <v>187500</v>
      </c>
      <c r="H700" s="412">
        <v>187500</v>
      </c>
      <c r="I700" s="412">
        <v>187500</v>
      </c>
      <c r="J700" s="412">
        <v>187500</v>
      </c>
      <c r="K700" s="412">
        <v>187500</v>
      </c>
      <c r="L700" s="412">
        <v>187500</v>
      </c>
      <c r="M700" s="412">
        <v>187500</v>
      </c>
      <c r="N700" s="412">
        <v>187500</v>
      </c>
      <c r="O700" s="412">
        <v>187500</v>
      </c>
      <c r="P700" s="412">
        <v>187500</v>
      </c>
      <c r="Q700" s="412">
        <v>187500</v>
      </c>
      <c r="R700" s="412">
        <v>187500</v>
      </c>
      <c r="S700" s="413">
        <f t="shared" si="160"/>
        <v>2250000</v>
      </c>
      <c r="T700" s="357"/>
      <c r="U700" s="356"/>
    </row>
    <row r="701" spans="1:21">
      <c r="A701" s="407" t="s">
        <v>334</v>
      </c>
      <c r="B701" s="408">
        <v>24015</v>
      </c>
      <c r="C701" s="409" t="s">
        <v>1188</v>
      </c>
      <c r="D701" s="410"/>
      <c r="E701" s="411"/>
      <c r="F701" s="411" t="s">
        <v>1113</v>
      </c>
      <c r="G701" s="415">
        <v>100000</v>
      </c>
      <c r="H701" s="415">
        <v>100000</v>
      </c>
      <c r="I701" s="415">
        <v>100000</v>
      </c>
      <c r="J701" s="415">
        <v>100000</v>
      </c>
      <c r="K701" s="415">
        <v>100000</v>
      </c>
      <c r="L701" s="415">
        <v>100000</v>
      </c>
      <c r="M701" s="415">
        <v>100000</v>
      </c>
      <c r="N701" s="415">
        <v>100000</v>
      </c>
      <c r="O701" s="415">
        <v>100000</v>
      </c>
      <c r="P701" s="415">
        <v>100000</v>
      </c>
      <c r="Q701" s="415">
        <v>100000</v>
      </c>
      <c r="R701" s="415">
        <v>100000</v>
      </c>
      <c r="S701" s="416">
        <f>SUM(G701:R701)</f>
        <v>1200000</v>
      </c>
      <c r="T701" s="357"/>
      <c r="U701" s="356"/>
    </row>
    <row r="702" spans="1:21">
      <c r="A702" s="407" t="s">
        <v>334</v>
      </c>
      <c r="B702" s="414">
        <v>25194</v>
      </c>
      <c r="C702" s="409" t="s">
        <v>1189</v>
      </c>
      <c r="D702" s="410"/>
      <c r="E702" s="411"/>
      <c r="F702" s="411" t="s">
        <v>1113</v>
      </c>
      <c r="G702" s="415">
        <v>80000</v>
      </c>
      <c r="H702" s="415">
        <v>80000</v>
      </c>
      <c r="I702" s="415">
        <v>80000</v>
      </c>
      <c r="J702" s="415">
        <v>80000</v>
      </c>
      <c r="K702" s="415">
        <v>80000</v>
      </c>
      <c r="L702" s="415">
        <v>80000</v>
      </c>
      <c r="M702" s="415">
        <v>80000</v>
      </c>
      <c r="N702" s="415">
        <v>80000</v>
      </c>
      <c r="O702" s="415">
        <v>80000</v>
      </c>
      <c r="P702" s="415">
        <v>80000</v>
      </c>
      <c r="Q702" s="415">
        <v>80000</v>
      </c>
      <c r="R702" s="415">
        <v>80000</v>
      </c>
      <c r="S702" s="416">
        <f>SUM(G702:R702)</f>
        <v>960000</v>
      </c>
      <c r="T702" s="357"/>
      <c r="U702" s="356"/>
    </row>
    <row r="703" spans="1:21">
      <c r="A703" s="407" t="s">
        <v>334</v>
      </c>
      <c r="B703" s="408">
        <v>3662</v>
      </c>
      <c r="C703" s="409" t="s">
        <v>1190</v>
      </c>
      <c r="D703" s="410"/>
      <c r="E703" s="411"/>
      <c r="F703" s="411" t="s">
        <v>1113</v>
      </c>
      <c r="G703" s="417" t="s">
        <v>334</v>
      </c>
      <c r="H703" s="417" t="s">
        <v>334</v>
      </c>
      <c r="I703" s="412" t="s">
        <v>334</v>
      </c>
      <c r="J703" s="417" t="s">
        <v>334</v>
      </c>
      <c r="K703" s="417" t="s">
        <v>334</v>
      </c>
      <c r="L703" s="412">
        <v>10000</v>
      </c>
      <c r="M703" s="417" t="s">
        <v>334</v>
      </c>
      <c r="N703" s="417" t="s">
        <v>334</v>
      </c>
      <c r="O703" s="412" t="s">
        <v>334</v>
      </c>
      <c r="P703" s="417" t="s">
        <v>334</v>
      </c>
      <c r="Q703" s="417" t="s">
        <v>334</v>
      </c>
      <c r="R703" s="412" t="s">
        <v>334</v>
      </c>
      <c r="S703" s="415">
        <f t="shared" ref="S703:S704" si="161">SUM(G703:R703)</f>
        <v>10000</v>
      </c>
      <c r="T703" s="357"/>
      <c r="U703" s="356"/>
    </row>
    <row r="704" spans="1:21" ht="30">
      <c r="A704" s="407" t="s">
        <v>334</v>
      </c>
      <c r="B704" s="408">
        <v>18406</v>
      </c>
      <c r="C704" s="418" t="s">
        <v>1191</v>
      </c>
      <c r="D704" s="410"/>
      <c r="E704" s="411"/>
      <c r="F704" s="411" t="s">
        <v>1113</v>
      </c>
      <c r="G704" s="417" t="s">
        <v>334</v>
      </c>
      <c r="H704" s="417" t="s">
        <v>334</v>
      </c>
      <c r="I704" s="412" t="s">
        <v>334</v>
      </c>
      <c r="J704" s="417" t="s">
        <v>334</v>
      </c>
      <c r="K704" s="417" t="s">
        <v>334</v>
      </c>
      <c r="L704" s="412">
        <v>50000</v>
      </c>
      <c r="M704" s="417" t="s">
        <v>334</v>
      </c>
      <c r="N704" s="417" t="s">
        <v>334</v>
      </c>
      <c r="O704" s="412" t="s">
        <v>334</v>
      </c>
      <c r="P704" s="417" t="s">
        <v>334</v>
      </c>
      <c r="Q704" s="417" t="s">
        <v>334</v>
      </c>
      <c r="R704" s="412" t="s">
        <v>334</v>
      </c>
      <c r="S704" s="415">
        <f t="shared" si="161"/>
        <v>50000</v>
      </c>
      <c r="T704" s="357"/>
      <c r="U704" s="356"/>
    </row>
    <row r="705" spans="1:21">
      <c r="A705" s="419"/>
      <c r="B705" s="420"/>
      <c r="C705" s="421"/>
      <c r="D705" s="406"/>
      <c r="E705" s="422"/>
      <c r="F705" s="422"/>
      <c r="G705" s="420"/>
      <c r="H705" s="420"/>
      <c r="I705" s="423"/>
      <c r="J705" s="420"/>
      <c r="K705" s="420"/>
      <c r="L705" s="423"/>
      <c r="M705" s="420"/>
      <c r="N705" s="420"/>
      <c r="O705" s="423"/>
      <c r="P705" s="420"/>
      <c r="Q705" s="420"/>
      <c r="R705" s="423"/>
      <c r="S705" s="424">
        <f>SUM(S697:S704)</f>
        <v>4690000</v>
      </c>
      <c r="T705" s="357"/>
      <c r="U705" s="356"/>
    </row>
    <row r="706" spans="1:21" ht="15.75" thickBot="1"/>
    <row r="707" spans="1:21" ht="27.75" thickTop="1" thickBot="1">
      <c r="A707" s="489" t="s">
        <v>316</v>
      </c>
    </row>
    <row r="708" spans="1:21" ht="27.75" thickTop="1" thickBot="1">
      <c r="A708" s="488" t="s">
        <v>1244</v>
      </c>
    </row>
    <row r="709" spans="1:21" ht="27" thickTop="1">
      <c r="A709" s="363"/>
    </row>
    <row r="710" spans="1:21" ht="52.5">
      <c r="A710" s="364" t="s">
        <v>53</v>
      </c>
    </row>
    <row r="713" spans="1:21">
      <c r="A713" s="431" t="s">
        <v>1193</v>
      </c>
      <c r="B713" s="432" t="s">
        <v>1194</v>
      </c>
      <c r="C713" s="432" t="s">
        <v>1195</v>
      </c>
      <c r="D713" s="432" t="s">
        <v>1196</v>
      </c>
      <c r="E713" s="2"/>
      <c r="F713" s="2"/>
      <c r="G713" s="2"/>
      <c r="R713"/>
      <c r="S713"/>
      <c r="T713"/>
    </row>
    <row r="714" spans="1:21">
      <c r="A714" s="428" t="s">
        <v>1197</v>
      </c>
      <c r="B714" s="425" t="s">
        <v>1198</v>
      </c>
      <c r="C714" s="431">
        <v>2</v>
      </c>
      <c r="D714" s="427">
        <v>3981.28</v>
      </c>
      <c r="E714" s="2"/>
      <c r="F714" s="2"/>
      <c r="G714" s="2"/>
      <c r="R714"/>
      <c r="S714"/>
      <c r="T714"/>
    </row>
    <row r="715" spans="1:21">
      <c r="A715" s="425" t="s">
        <v>1199</v>
      </c>
      <c r="B715" s="425" t="s">
        <v>1198</v>
      </c>
      <c r="C715" s="426">
        <v>1</v>
      </c>
      <c r="D715" s="427">
        <v>7072.32</v>
      </c>
      <c r="E715" s="2"/>
      <c r="F715" s="2"/>
      <c r="G715" s="2"/>
      <c r="R715"/>
      <c r="S715"/>
      <c r="T715"/>
    </row>
    <row r="716" spans="1:21">
      <c r="A716" s="425" t="s">
        <v>1200</v>
      </c>
      <c r="B716" s="425" t="s">
        <v>1198</v>
      </c>
      <c r="C716" s="426">
        <v>1</v>
      </c>
      <c r="D716" s="427">
        <v>123.53</v>
      </c>
      <c r="E716" s="2"/>
      <c r="F716" s="2"/>
      <c r="G716" s="2"/>
      <c r="R716"/>
      <c r="S716"/>
      <c r="T716"/>
    </row>
    <row r="717" spans="1:21">
      <c r="A717" s="425" t="s">
        <v>1201</v>
      </c>
      <c r="B717" s="425" t="s">
        <v>1198</v>
      </c>
      <c r="C717" s="426">
        <v>10</v>
      </c>
      <c r="D717" s="427">
        <v>357.4</v>
      </c>
      <c r="E717" s="2"/>
      <c r="F717" s="2"/>
      <c r="G717" s="2"/>
      <c r="R717"/>
      <c r="S717"/>
      <c r="T717"/>
    </row>
    <row r="718" spans="1:21">
      <c r="A718" s="425" t="s">
        <v>1202</v>
      </c>
      <c r="B718" s="425" t="s">
        <v>1198</v>
      </c>
      <c r="C718" s="426">
        <v>5</v>
      </c>
      <c r="D718" s="427">
        <v>792.55</v>
      </c>
      <c r="E718" s="2"/>
      <c r="F718" s="2"/>
      <c r="G718" s="2"/>
      <c r="R718"/>
      <c r="S718"/>
      <c r="T718"/>
    </row>
    <row r="719" spans="1:21">
      <c r="A719" s="425"/>
      <c r="B719" s="425"/>
      <c r="C719" s="426"/>
      <c r="D719" s="427">
        <f>SUM(D714:D718)</f>
        <v>12327.08</v>
      </c>
      <c r="E719" s="2"/>
      <c r="F719" s="2"/>
      <c r="G719" s="2"/>
      <c r="R719"/>
      <c r="S719"/>
      <c r="T719"/>
    </row>
    <row r="720" spans="1:21">
      <c r="A720" s="428" t="s">
        <v>1203</v>
      </c>
      <c r="B720" s="428" t="s">
        <v>1204</v>
      </c>
      <c r="C720" s="431">
        <v>5</v>
      </c>
      <c r="D720" s="427">
        <v>2742.8</v>
      </c>
      <c r="E720" s="2"/>
      <c r="F720" s="2"/>
      <c r="G720" s="2"/>
      <c r="R720"/>
      <c r="S720"/>
      <c r="T720"/>
    </row>
    <row r="721" spans="1:20">
      <c r="A721" s="425" t="s">
        <v>1205</v>
      </c>
      <c r="B721" s="425" t="s">
        <v>1204</v>
      </c>
      <c r="C721" s="426">
        <v>3</v>
      </c>
      <c r="D721" s="427">
        <v>1127.52</v>
      </c>
      <c r="E721" s="2"/>
      <c r="F721" s="2"/>
      <c r="G721" s="2"/>
      <c r="R721"/>
      <c r="S721"/>
      <c r="T721"/>
    </row>
    <row r="722" spans="1:20">
      <c r="A722" s="425" t="s">
        <v>1206</v>
      </c>
      <c r="B722" s="425" t="s">
        <v>1204</v>
      </c>
      <c r="C722" s="426">
        <v>2</v>
      </c>
      <c r="D722" s="427">
        <v>1359.84</v>
      </c>
      <c r="E722" s="2"/>
      <c r="F722" s="2"/>
      <c r="G722" s="2"/>
      <c r="R722"/>
      <c r="S722"/>
      <c r="T722"/>
    </row>
    <row r="723" spans="1:20">
      <c r="A723" s="425" t="s">
        <v>1207</v>
      </c>
      <c r="B723" s="425" t="s">
        <v>1204</v>
      </c>
      <c r="C723" s="426">
        <v>1</v>
      </c>
      <c r="D723" s="427">
        <v>207.81</v>
      </c>
      <c r="E723" s="2"/>
      <c r="F723" s="2"/>
      <c r="G723" s="2"/>
      <c r="R723"/>
      <c r="S723"/>
      <c r="T723"/>
    </row>
    <row r="724" spans="1:20">
      <c r="A724" s="425" t="s">
        <v>1208</v>
      </c>
      <c r="B724" s="425" t="s">
        <v>1204</v>
      </c>
      <c r="C724" s="426">
        <v>5</v>
      </c>
      <c r="D724" s="427">
        <v>3499.6</v>
      </c>
      <c r="E724" s="2"/>
      <c r="F724" s="2"/>
      <c r="G724" s="2"/>
      <c r="R724"/>
      <c r="S724"/>
      <c r="T724"/>
    </row>
    <row r="725" spans="1:20">
      <c r="A725" s="425"/>
      <c r="B725" s="425"/>
      <c r="C725" s="426"/>
      <c r="D725" s="427">
        <f>SUM(D720:D724)</f>
        <v>8937.57</v>
      </c>
      <c r="E725" s="2"/>
      <c r="F725" s="2"/>
      <c r="G725" s="2"/>
      <c r="R725"/>
      <c r="S725"/>
      <c r="T725"/>
    </row>
    <row r="726" spans="1:20">
      <c r="A726" s="425" t="s">
        <v>1209</v>
      </c>
      <c r="B726" s="428" t="s">
        <v>31</v>
      </c>
      <c r="C726" s="426">
        <v>1</v>
      </c>
      <c r="D726" s="427">
        <v>34.9</v>
      </c>
      <c r="E726" s="2"/>
      <c r="F726" s="2"/>
      <c r="G726" s="2"/>
      <c r="R726"/>
      <c r="S726"/>
      <c r="T726"/>
    </row>
    <row r="727" spans="1:20">
      <c r="A727" s="425" t="s">
        <v>1210</v>
      </c>
      <c r="B727" s="428" t="s">
        <v>31</v>
      </c>
      <c r="C727" s="426">
        <v>1</v>
      </c>
      <c r="D727" s="427">
        <v>51.9</v>
      </c>
      <c r="E727" s="2"/>
      <c r="F727" s="2"/>
      <c r="G727" s="2"/>
      <c r="R727"/>
      <c r="S727"/>
      <c r="T727"/>
    </row>
    <row r="728" spans="1:20" ht="25.5">
      <c r="A728" s="425" t="s">
        <v>1211</v>
      </c>
      <c r="B728" s="428" t="s">
        <v>31</v>
      </c>
      <c r="C728" s="426">
        <v>1</v>
      </c>
      <c r="D728" s="427">
        <v>71.25</v>
      </c>
      <c r="E728" s="2"/>
      <c r="F728" s="2"/>
      <c r="G728" s="2"/>
      <c r="R728"/>
      <c r="S728"/>
      <c r="T728"/>
    </row>
    <row r="729" spans="1:20">
      <c r="A729" s="425" t="s">
        <v>1212</v>
      </c>
      <c r="B729" s="428" t="s">
        <v>31</v>
      </c>
      <c r="C729" s="426">
        <v>1</v>
      </c>
      <c r="D729" s="427">
        <v>115.66</v>
      </c>
      <c r="E729" s="2"/>
      <c r="F729" s="2"/>
      <c r="G729" s="2"/>
      <c r="R729"/>
      <c r="S729"/>
      <c r="T729"/>
    </row>
    <row r="730" spans="1:20">
      <c r="A730" s="428" t="s">
        <v>1213</v>
      </c>
      <c r="B730" s="428" t="s">
        <v>1214</v>
      </c>
      <c r="C730" s="425">
        <v>1</v>
      </c>
      <c r="D730" s="427">
        <v>214.4</v>
      </c>
      <c r="E730" s="2"/>
      <c r="F730" s="2"/>
      <c r="G730" s="2"/>
      <c r="R730"/>
      <c r="S730"/>
      <c r="T730"/>
    </row>
    <row r="731" spans="1:20">
      <c r="A731" s="425"/>
      <c r="B731" s="425"/>
      <c r="C731" s="426"/>
      <c r="D731" s="427">
        <f>SUM(D726:D730)</f>
        <v>488.11</v>
      </c>
      <c r="E731" s="2"/>
      <c r="F731" s="2"/>
      <c r="G731" s="2"/>
      <c r="R731"/>
      <c r="S731"/>
      <c r="T731"/>
    </row>
    <row r="732" spans="1:20">
      <c r="A732" s="428" t="s">
        <v>1215</v>
      </c>
      <c r="B732" s="428" t="s">
        <v>1216</v>
      </c>
      <c r="C732" s="431">
        <v>1</v>
      </c>
      <c r="D732" s="427">
        <v>697.27</v>
      </c>
      <c r="E732" s="2"/>
      <c r="F732" s="2"/>
      <c r="G732" s="2"/>
      <c r="R732"/>
      <c r="S732"/>
      <c r="T732"/>
    </row>
    <row r="733" spans="1:20">
      <c r="A733" s="425" t="s">
        <v>1217</v>
      </c>
      <c r="B733" s="428" t="s">
        <v>1216</v>
      </c>
      <c r="C733" s="426">
        <v>10</v>
      </c>
      <c r="D733" s="427">
        <v>133.19999999999999</v>
      </c>
      <c r="E733" s="2"/>
      <c r="F733" s="2"/>
      <c r="G733" s="2"/>
      <c r="R733"/>
      <c r="S733"/>
      <c r="T733"/>
    </row>
    <row r="734" spans="1:20">
      <c r="A734" s="425" t="s">
        <v>1218</v>
      </c>
      <c r="B734" s="428" t="s">
        <v>1216</v>
      </c>
      <c r="C734" s="426">
        <v>50</v>
      </c>
      <c r="D734" s="427">
        <v>37.5</v>
      </c>
      <c r="E734" s="2"/>
      <c r="F734" s="2"/>
      <c r="G734" s="2"/>
      <c r="R734"/>
      <c r="S734"/>
      <c r="T734"/>
    </row>
    <row r="735" spans="1:20">
      <c r="A735" s="425" t="s">
        <v>1219</v>
      </c>
      <c r="B735" s="428" t="s">
        <v>1216</v>
      </c>
      <c r="C735" s="426">
        <v>20</v>
      </c>
      <c r="D735" s="427">
        <v>5</v>
      </c>
      <c r="E735" s="2"/>
      <c r="F735" s="2"/>
      <c r="G735" s="2"/>
      <c r="R735"/>
      <c r="S735"/>
      <c r="T735"/>
    </row>
    <row r="736" spans="1:20">
      <c r="A736" s="425" t="s">
        <v>1220</v>
      </c>
      <c r="B736" s="428" t="s">
        <v>1216</v>
      </c>
      <c r="C736" s="426">
        <v>30</v>
      </c>
      <c r="D736" s="427">
        <v>450</v>
      </c>
      <c r="E736" s="2"/>
      <c r="F736" s="2"/>
      <c r="G736" s="2"/>
      <c r="R736"/>
      <c r="S736"/>
      <c r="T736"/>
    </row>
    <row r="737" spans="1:20">
      <c r="A737" s="425" t="s">
        <v>1221</v>
      </c>
      <c r="B737" s="428" t="s">
        <v>1216</v>
      </c>
      <c r="C737" s="426">
        <v>10</v>
      </c>
      <c r="D737" s="427">
        <v>83.3</v>
      </c>
      <c r="E737" s="2"/>
      <c r="F737" s="2"/>
      <c r="G737" s="2"/>
      <c r="R737"/>
      <c r="S737"/>
      <c r="T737"/>
    </row>
    <row r="738" spans="1:20">
      <c r="A738" s="425" t="s">
        <v>1222</v>
      </c>
      <c r="B738" s="428" t="s">
        <v>1216</v>
      </c>
      <c r="C738" s="426">
        <v>10</v>
      </c>
      <c r="D738" s="427">
        <v>62.9</v>
      </c>
      <c r="E738" s="2"/>
      <c r="F738" s="2"/>
      <c r="G738" s="2"/>
      <c r="R738"/>
      <c r="S738"/>
      <c r="T738"/>
    </row>
    <row r="739" spans="1:20">
      <c r="A739" s="425" t="s">
        <v>1223</v>
      </c>
      <c r="B739" s="428" t="s">
        <v>1216</v>
      </c>
      <c r="C739" s="426">
        <v>10</v>
      </c>
      <c r="D739" s="427">
        <v>372.2</v>
      </c>
      <c r="E739" s="2"/>
      <c r="F739" s="2"/>
      <c r="G739" s="2"/>
      <c r="R739"/>
      <c r="S739"/>
      <c r="T739"/>
    </row>
    <row r="740" spans="1:20">
      <c r="A740" s="425" t="s">
        <v>1224</v>
      </c>
      <c r="B740" s="428" t="s">
        <v>1216</v>
      </c>
      <c r="C740" s="426">
        <v>15</v>
      </c>
      <c r="D740" s="427">
        <v>692.7</v>
      </c>
      <c r="E740" s="2"/>
      <c r="F740" s="2"/>
      <c r="G740" s="2"/>
      <c r="R740"/>
      <c r="S740"/>
      <c r="T740"/>
    </row>
    <row r="741" spans="1:20">
      <c r="A741" s="428" t="s">
        <v>1225</v>
      </c>
      <c r="B741" s="428" t="s">
        <v>1216</v>
      </c>
      <c r="C741" s="426">
        <v>10</v>
      </c>
      <c r="D741" s="427">
        <v>204.5</v>
      </c>
      <c r="E741" s="2"/>
      <c r="F741" s="2"/>
      <c r="G741" s="2"/>
      <c r="R741"/>
      <c r="S741"/>
      <c r="T741"/>
    </row>
    <row r="742" spans="1:20">
      <c r="A742" s="425" t="s">
        <v>1226</v>
      </c>
      <c r="B742" s="428" t="s">
        <v>1216</v>
      </c>
      <c r="C742" s="426">
        <v>10</v>
      </c>
      <c r="D742" s="427">
        <v>52</v>
      </c>
      <c r="E742" s="2"/>
      <c r="F742" s="2"/>
      <c r="G742" s="2"/>
      <c r="R742"/>
      <c r="S742"/>
      <c r="T742"/>
    </row>
    <row r="743" spans="1:20">
      <c r="A743" s="425" t="s">
        <v>1227</v>
      </c>
      <c r="B743" s="428" t="s">
        <v>1216</v>
      </c>
      <c r="C743" s="426">
        <v>10</v>
      </c>
      <c r="D743" s="427">
        <v>58.6</v>
      </c>
      <c r="E743" s="2"/>
      <c r="F743" s="2"/>
      <c r="G743" s="2"/>
      <c r="R743"/>
      <c r="S743"/>
      <c r="T743"/>
    </row>
    <row r="744" spans="1:20">
      <c r="A744" s="425" t="s">
        <v>1228</v>
      </c>
      <c r="B744" s="428" t="s">
        <v>1216</v>
      </c>
      <c r="C744" s="426">
        <v>10</v>
      </c>
      <c r="D744" s="427">
        <v>258</v>
      </c>
      <c r="E744" s="2"/>
      <c r="F744" s="2"/>
      <c r="G744" s="2"/>
      <c r="R744"/>
      <c r="S744"/>
      <c r="T744"/>
    </row>
    <row r="745" spans="1:20">
      <c r="A745" s="425" t="s">
        <v>1229</v>
      </c>
      <c r="B745" s="428" t="s">
        <v>1216</v>
      </c>
      <c r="C745" s="426">
        <v>5</v>
      </c>
      <c r="D745" s="427">
        <v>133.55000000000001</v>
      </c>
      <c r="E745" s="2"/>
      <c r="F745" s="2"/>
      <c r="G745" s="2"/>
      <c r="R745"/>
      <c r="S745"/>
      <c r="T745"/>
    </row>
    <row r="746" spans="1:20">
      <c r="A746" s="425" t="s">
        <v>1230</v>
      </c>
      <c r="B746" s="428" t="s">
        <v>1216</v>
      </c>
      <c r="C746" s="426">
        <v>5</v>
      </c>
      <c r="D746" s="427">
        <v>516.6</v>
      </c>
      <c r="E746" s="2"/>
      <c r="F746" s="2"/>
      <c r="G746" s="2"/>
      <c r="R746"/>
      <c r="S746"/>
      <c r="T746"/>
    </row>
    <row r="747" spans="1:20">
      <c r="A747" s="425" t="s">
        <v>1231</v>
      </c>
      <c r="B747" s="428" t="s">
        <v>1216</v>
      </c>
      <c r="C747" s="426">
        <v>2</v>
      </c>
      <c r="D747" s="427">
        <v>167.18</v>
      </c>
      <c r="E747" s="2"/>
      <c r="F747" s="2"/>
      <c r="G747" s="2"/>
      <c r="R747"/>
      <c r="S747"/>
      <c r="T747"/>
    </row>
    <row r="748" spans="1:20">
      <c r="A748" s="425" t="s">
        <v>1232</v>
      </c>
      <c r="B748" s="428" t="s">
        <v>1216</v>
      </c>
      <c r="C748" s="426">
        <v>5</v>
      </c>
      <c r="D748" s="427">
        <v>107.5</v>
      </c>
      <c r="E748" s="2"/>
      <c r="F748" s="2"/>
      <c r="G748" s="2"/>
      <c r="R748"/>
      <c r="S748"/>
      <c r="T748"/>
    </row>
    <row r="749" spans="1:20">
      <c r="A749" s="425" t="s">
        <v>1233</v>
      </c>
      <c r="B749" s="428" t="s">
        <v>1216</v>
      </c>
      <c r="C749" s="426">
        <v>3</v>
      </c>
      <c r="D749" s="427">
        <v>149.88</v>
      </c>
      <c r="E749" s="2"/>
      <c r="F749" s="2"/>
      <c r="G749" s="2"/>
      <c r="R749"/>
      <c r="S749"/>
      <c r="T749"/>
    </row>
    <row r="750" spans="1:20">
      <c r="A750" s="425"/>
      <c r="B750" s="428"/>
      <c r="C750" s="426"/>
      <c r="D750" s="427">
        <f>SUM(D732:D749)</f>
        <v>4181.88</v>
      </c>
      <c r="E750" s="2"/>
      <c r="F750" s="2"/>
      <c r="G750" s="2"/>
      <c r="R750"/>
      <c r="S750"/>
      <c r="T750"/>
    </row>
    <row r="751" spans="1:20">
      <c r="A751" s="428" t="s">
        <v>1234</v>
      </c>
      <c r="B751" s="428" t="s">
        <v>1235</v>
      </c>
      <c r="C751" s="425">
        <v>40</v>
      </c>
      <c r="D751" s="427">
        <v>740</v>
      </c>
      <c r="E751" s="2"/>
      <c r="F751" s="2"/>
      <c r="G751" s="2"/>
      <c r="R751"/>
      <c r="S751"/>
      <c r="T751"/>
    </row>
    <row r="752" spans="1:20">
      <c r="A752" s="428" t="s">
        <v>1236</v>
      </c>
      <c r="B752" s="428" t="s">
        <v>1235</v>
      </c>
      <c r="C752" s="425">
        <v>2</v>
      </c>
      <c r="D752" s="427">
        <v>15.96</v>
      </c>
      <c r="E752" s="2"/>
      <c r="F752" s="2"/>
      <c r="G752" s="2"/>
      <c r="R752"/>
      <c r="S752"/>
      <c r="T752"/>
    </row>
    <row r="753" spans="1:25">
      <c r="A753" s="428" t="s">
        <v>1237</v>
      </c>
      <c r="B753" s="428" t="s">
        <v>1235</v>
      </c>
      <c r="C753" s="425">
        <v>50</v>
      </c>
      <c r="D753" s="427">
        <v>138</v>
      </c>
      <c r="E753" s="2"/>
      <c r="F753" s="2"/>
      <c r="G753" s="2"/>
      <c r="R753"/>
      <c r="S753"/>
      <c r="T753"/>
    </row>
    <row r="754" spans="1:25">
      <c r="A754" s="428" t="s">
        <v>1238</v>
      </c>
      <c r="B754" s="428" t="s">
        <v>1235</v>
      </c>
      <c r="C754" s="425">
        <v>50</v>
      </c>
      <c r="D754" s="427">
        <v>144.5</v>
      </c>
      <c r="E754" s="2"/>
      <c r="F754" s="2"/>
      <c r="G754" s="2"/>
      <c r="R754"/>
      <c r="S754"/>
      <c r="T754"/>
    </row>
    <row r="755" spans="1:25">
      <c r="A755" s="428" t="s">
        <v>1239</v>
      </c>
      <c r="B755" s="428" t="s">
        <v>1235</v>
      </c>
      <c r="C755" s="425">
        <v>5</v>
      </c>
      <c r="D755" s="427">
        <v>391.9</v>
      </c>
      <c r="E755" s="2"/>
      <c r="F755" s="2"/>
      <c r="G755" s="2"/>
      <c r="R755"/>
      <c r="S755"/>
      <c r="T755"/>
    </row>
    <row r="756" spans="1:25">
      <c r="A756" s="428" t="s">
        <v>1240</v>
      </c>
      <c r="B756" s="428" t="s">
        <v>1235</v>
      </c>
      <c r="C756" s="425">
        <v>2</v>
      </c>
      <c r="D756" s="427">
        <v>154.18</v>
      </c>
      <c r="E756" s="2"/>
      <c r="F756" s="2"/>
      <c r="G756" s="2"/>
      <c r="R756"/>
      <c r="S756"/>
      <c r="T756"/>
    </row>
    <row r="757" spans="1:25">
      <c r="A757" s="428" t="s">
        <v>1241</v>
      </c>
      <c r="B757" s="428" t="s">
        <v>1235</v>
      </c>
      <c r="C757" s="425">
        <v>3</v>
      </c>
      <c r="D757" s="427">
        <v>114.81</v>
      </c>
      <c r="E757" s="2"/>
      <c r="F757" s="2"/>
      <c r="G757" s="2"/>
      <c r="R757"/>
      <c r="S757"/>
      <c r="T757"/>
    </row>
    <row r="758" spans="1:25">
      <c r="A758" s="428" t="s">
        <v>1242</v>
      </c>
      <c r="B758" s="428" t="s">
        <v>584</v>
      </c>
      <c r="C758" s="425">
        <v>2</v>
      </c>
      <c r="D758" s="427">
        <v>1497</v>
      </c>
      <c r="E758" s="2"/>
      <c r="F758" s="2"/>
      <c r="G758" s="2"/>
      <c r="R758"/>
      <c r="S758"/>
      <c r="T758"/>
    </row>
    <row r="759" spans="1:25" ht="15.75" thickBot="1">
      <c r="A759" s="633"/>
      <c r="B759" s="634"/>
      <c r="C759" s="635"/>
      <c r="D759" s="495">
        <f>SUM(D751:D758)</f>
        <v>3196.3500000000004</v>
      </c>
      <c r="E759" s="496"/>
      <c r="F759" s="496"/>
      <c r="G759" s="496"/>
      <c r="H759" s="496"/>
      <c r="R759"/>
      <c r="S759"/>
      <c r="T759"/>
    </row>
    <row r="760" spans="1:25" ht="15.75" thickBot="1">
      <c r="A760" s="636" t="s">
        <v>1243</v>
      </c>
      <c r="B760" s="637"/>
      <c r="C760" s="637"/>
      <c r="D760" s="494">
        <f>SUM(D719+D725+D731+D750+D759)</f>
        <v>29130.990000000005</v>
      </c>
      <c r="E760" s="430"/>
      <c r="F760" s="430"/>
      <c r="G760" s="430"/>
      <c r="H760" s="496"/>
    </row>
    <row r="761" spans="1:25" ht="15.75" thickBot="1">
      <c r="B761" s="429"/>
    </row>
    <row r="762" spans="1:25" ht="27.75" thickTop="1" thickBot="1">
      <c r="A762" s="489" t="s">
        <v>316</v>
      </c>
    </row>
    <row r="763" spans="1:25" ht="27.75" thickTop="1" thickBot="1">
      <c r="A763" s="488" t="s">
        <v>1451</v>
      </c>
    </row>
    <row r="764" spans="1:25" ht="15.75" thickTop="1"/>
    <row r="765" spans="1:25" ht="52.5">
      <c r="A765" s="498" t="s">
        <v>53</v>
      </c>
      <c r="B765" s="49" t="s">
        <v>47</v>
      </c>
      <c r="C765" s="49" t="s">
        <v>1245</v>
      </c>
      <c r="D765" s="49" t="s">
        <v>319</v>
      </c>
      <c r="E765" s="499" t="s">
        <v>320</v>
      </c>
      <c r="F765" s="49" t="s">
        <v>1246</v>
      </c>
      <c r="G765" s="49" t="s">
        <v>321</v>
      </c>
      <c r="H765" s="500" t="s">
        <v>322</v>
      </c>
      <c r="I765" s="49" t="s">
        <v>323</v>
      </c>
      <c r="J765" s="49" t="s">
        <v>324</v>
      </c>
      <c r="K765" s="49" t="s">
        <v>325</v>
      </c>
      <c r="L765" s="49" t="s">
        <v>0</v>
      </c>
      <c r="M765" s="49" t="s">
        <v>1</v>
      </c>
      <c r="N765" s="49" t="s">
        <v>2</v>
      </c>
      <c r="O765" s="49" t="s">
        <v>3</v>
      </c>
      <c r="P765" s="49" t="s">
        <v>4</v>
      </c>
      <c r="Q765" s="49" t="s">
        <v>5</v>
      </c>
      <c r="R765" s="49" t="s">
        <v>6</v>
      </c>
      <c r="S765" s="49" t="s">
        <v>7</v>
      </c>
      <c r="T765" s="49" t="s">
        <v>8</v>
      </c>
      <c r="U765" s="49" t="s">
        <v>9</v>
      </c>
      <c r="V765" s="49" t="s">
        <v>10</v>
      </c>
      <c r="W765" s="49" t="s">
        <v>11</v>
      </c>
      <c r="X765" s="49" t="s">
        <v>12</v>
      </c>
      <c r="Y765" s="16"/>
    </row>
    <row r="766" spans="1:25">
      <c r="A766" s="501" t="s">
        <v>1247</v>
      </c>
      <c r="B766" s="502"/>
      <c r="C766" s="502"/>
      <c r="D766" s="502"/>
      <c r="E766" s="503"/>
      <c r="F766" s="476"/>
      <c r="G766" s="504"/>
      <c r="H766" s="505"/>
      <c r="I766" s="506"/>
      <c r="J766" s="507"/>
      <c r="K766" s="507">
        <f t="shared" ref="K766:K774" si="162">H766*J766</f>
        <v>0</v>
      </c>
      <c r="L766" s="507">
        <f t="shared" ref="L766:W766" si="163">L767+L773+L808+L826+L845+L847+L1000</f>
        <v>10382.34</v>
      </c>
      <c r="M766" s="507">
        <f t="shared" si="163"/>
        <v>10177.34</v>
      </c>
      <c r="N766" s="507">
        <f t="shared" si="163"/>
        <v>73689.340000000011</v>
      </c>
      <c r="O766" s="507">
        <f t="shared" si="163"/>
        <v>227310.64999999997</v>
      </c>
      <c r="P766" s="507">
        <f t="shared" si="163"/>
        <v>25949.544000000002</v>
      </c>
      <c r="Q766" s="507">
        <f t="shared" si="163"/>
        <v>11565.869000000001</v>
      </c>
      <c r="R766" s="507">
        <f t="shared" si="163"/>
        <v>11605.044000000002</v>
      </c>
      <c r="S766" s="507">
        <f t="shared" si="163"/>
        <v>20814.493999999999</v>
      </c>
      <c r="T766" s="507">
        <f t="shared" si="163"/>
        <v>37543.188000000002</v>
      </c>
      <c r="U766" s="507">
        <f t="shared" si="163"/>
        <v>11459.228000000001</v>
      </c>
      <c r="V766" s="507">
        <f t="shared" si="163"/>
        <v>11323.678000000002</v>
      </c>
      <c r="W766" s="507">
        <f t="shared" si="163"/>
        <v>10586.074000000001</v>
      </c>
      <c r="X766" s="507">
        <f>SUM(L766:W766)</f>
        <v>462406.78900000005</v>
      </c>
      <c r="Y766" s="508"/>
    </row>
    <row r="767" spans="1:25">
      <c r="A767" s="501" t="s">
        <v>13</v>
      </c>
      <c r="B767" s="502"/>
      <c r="C767" s="502"/>
      <c r="D767" s="502"/>
      <c r="E767" s="503"/>
      <c r="F767" s="476"/>
      <c r="G767" s="504"/>
      <c r="H767" s="505"/>
      <c r="I767" s="506"/>
      <c r="J767" s="507"/>
      <c r="K767" s="507">
        <f t="shared" si="162"/>
        <v>0</v>
      </c>
      <c r="L767" s="507">
        <f t="shared" ref="L767:X767" si="164">L768</f>
        <v>0</v>
      </c>
      <c r="M767" s="507">
        <f t="shared" si="164"/>
        <v>0</v>
      </c>
      <c r="N767" s="507">
        <f t="shared" si="164"/>
        <v>0</v>
      </c>
      <c r="O767" s="507">
        <f t="shared" si="164"/>
        <v>0</v>
      </c>
      <c r="P767" s="507">
        <f t="shared" si="164"/>
        <v>0</v>
      </c>
      <c r="Q767" s="507">
        <f t="shared" si="164"/>
        <v>0</v>
      </c>
      <c r="R767" s="507">
        <f t="shared" si="164"/>
        <v>0</v>
      </c>
      <c r="S767" s="507">
        <f t="shared" si="164"/>
        <v>0</v>
      </c>
      <c r="T767" s="507">
        <f t="shared" si="164"/>
        <v>0</v>
      </c>
      <c r="U767" s="507">
        <f t="shared" si="164"/>
        <v>0</v>
      </c>
      <c r="V767" s="507">
        <f t="shared" si="164"/>
        <v>0</v>
      </c>
      <c r="W767" s="507">
        <f t="shared" si="164"/>
        <v>0</v>
      </c>
      <c r="X767" s="507">
        <f t="shared" si="164"/>
        <v>0</v>
      </c>
      <c r="Y767" s="508"/>
    </row>
    <row r="768" spans="1:25">
      <c r="A768" s="509" t="s">
        <v>1248</v>
      </c>
      <c r="B768" s="510"/>
      <c r="C768" s="510"/>
      <c r="D768" s="510"/>
      <c r="E768" s="511"/>
      <c r="F768" s="449"/>
      <c r="G768" s="512"/>
      <c r="H768" s="513"/>
      <c r="I768" s="514"/>
      <c r="J768" s="507"/>
      <c r="K768" s="507">
        <f t="shared" si="162"/>
        <v>0</v>
      </c>
      <c r="L768" s="497">
        <f t="shared" ref="L768:X768" si="165">SUM(L769:L770)</f>
        <v>0</v>
      </c>
      <c r="M768" s="497">
        <f t="shared" si="165"/>
        <v>0</v>
      </c>
      <c r="N768" s="497">
        <f t="shared" si="165"/>
        <v>0</v>
      </c>
      <c r="O768" s="497">
        <f t="shared" si="165"/>
        <v>0</v>
      </c>
      <c r="P768" s="497">
        <f t="shared" si="165"/>
        <v>0</v>
      </c>
      <c r="Q768" s="497">
        <f t="shared" si="165"/>
        <v>0</v>
      </c>
      <c r="R768" s="497">
        <f t="shared" si="165"/>
        <v>0</v>
      </c>
      <c r="S768" s="497">
        <f t="shared" si="165"/>
        <v>0</v>
      </c>
      <c r="T768" s="497">
        <f t="shared" si="165"/>
        <v>0</v>
      </c>
      <c r="U768" s="497">
        <f t="shared" si="165"/>
        <v>0</v>
      </c>
      <c r="V768" s="497">
        <f t="shared" si="165"/>
        <v>0</v>
      </c>
      <c r="W768" s="497">
        <f t="shared" si="165"/>
        <v>0</v>
      </c>
      <c r="X768" s="497">
        <f t="shared" si="165"/>
        <v>0</v>
      </c>
      <c r="Y768" s="508"/>
    </row>
    <row r="769" spans="1:25">
      <c r="A769" s="515" t="s">
        <v>1249</v>
      </c>
      <c r="B769" s="516"/>
      <c r="C769" s="516"/>
      <c r="D769" s="516"/>
      <c r="E769" s="517"/>
      <c r="F769" s="19"/>
      <c r="G769" s="518"/>
      <c r="H769" s="519"/>
      <c r="I769" s="520"/>
      <c r="J769" s="507"/>
      <c r="K769" s="507">
        <f t="shared" si="162"/>
        <v>0</v>
      </c>
      <c r="L769" s="521"/>
      <c r="M769" s="521"/>
      <c r="N769" s="521"/>
      <c r="O769" s="521"/>
      <c r="P769" s="521"/>
      <c r="Q769" s="521"/>
      <c r="R769" s="521"/>
      <c r="S769" s="521"/>
      <c r="T769" s="521"/>
      <c r="U769" s="521"/>
      <c r="V769" s="521"/>
      <c r="W769" s="521"/>
      <c r="X769" s="521">
        <f>SUM(L769:W769)</f>
        <v>0</v>
      </c>
      <c r="Y769" s="508"/>
    </row>
    <row r="770" spans="1:25">
      <c r="A770" s="515" t="s">
        <v>1250</v>
      </c>
      <c r="B770" s="516"/>
      <c r="C770" s="516"/>
      <c r="D770" s="516"/>
      <c r="E770" s="517"/>
      <c r="F770" s="19"/>
      <c r="G770" s="518"/>
      <c r="H770" s="519"/>
      <c r="I770" s="520"/>
      <c r="J770" s="507"/>
      <c r="K770" s="507">
        <f t="shared" si="162"/>
        <v>0</v>
      </c>
      <c r="L770" s="521"/>
      <c r="M770" s="521"/>
      <c r="N770" s="521"/>
      <c r="O770" s="521"/>
      <c r="P770" s="521"/>
      <c r="Q770" s="521"/>
      <c r="R770" s="521"/>
      <c r="S770" s="521"/>
      <c r="T770" s="521"/>
      <c r="U770" s="521"/>
      <c r="V770" s="521"/>
      <c r="W770" s="521"/>
      <c r="X770" s="521">
        <f>SUM(L770:W770)</f>
        <v>0</v>
      </c>
      <c r="Y770" s="508"/>
    </row>
    <row r="771" spans="1:25">
      <c r="A771" s="509" t="s">
        <v>935</v>
      </c>
      <c r="B771" s="516"/>
      <c r="C771" s="516"/>
      <c r="D771" s="516"/>
      <c r="E771" s="517"/>
      <c r="F771" s="19"/>
      <c r="G771" s="518"/>
      <c r="H771" s="519"/>
      <c r="I771" s="520"/>
      <c r="J771" s="507"/>
      <c r="K771" s="507">
        <f t="shared" si="162"/>
        <v>0</v>
      </c>
      <c r="L771" s="497">
        <f t="shared" ref="L771:W771" si="166">L772</f>
        <v>0</v>
      </c>
      <c r="M771" s="497">
        <f t="shared" si="166"/>
        <v>0</v>
      </c>
      <c r="N771" s="497">
        <f t="shared" si="166"/>
        <v>0</v>
      </c>
      <c r="O771" s="497">
        <f t="shared" si="166"/>
        <v>0</v>
      </c>
      <c r="P771" s="497">
        <f t="shared" si="166"/>
        <v>0</v>
      </c>
      <c r="Q771" s="497">
        <f t="shared" si="166"/>
        <v>0</v>
      </c>
      <c r="R771" s="497">
        <f t="shared" si="166"/>
        <v>0</v>
      </c>
      <c r="S771" s="497">
        <f t="shared" si="166"/>
        <v>0</v>
      </c>
      <c r="T771" s="497">
        <f t="shared" si="166"/>
        <v>0</v>
      </c>
      <c r="U771" s="497">
        <f t="shared" si="166"/>
        <v>0</v>
      </c>
      <c r="V771" s="497">
        <f t="shared" si="166"/>
        <v>0</v>
      </c>
      <c r="W771" s="497">
        <f t="shared" si="166"/>
        <v>0</v>
      </c>
      <c r="X771" s="497">
        <f>SUM(L771:W771)</f>
        <v>0</v>
      </c>
      <c r="Y771" s="508"/>
    </row>
    <row r="772" spans="1:25">
      <c r="A772" s="515" t="s">
        <v>1251</v>
      </c>
      <c r="B772" s="516"/>
      <c r="C772" s="516"/>
      <c r="D772" s="516"/>
      <c r="E772" s="517"/>
      <c r="F772" s="19"/>
      <c r="G772" s="518"/>
      <c r="H772" s="519"/>
      <c r="I772" s="520"/>
      <c r="J772" s="507"/>
      <c r="K772" s="507">
        <f t="shared" si="162"/>
        <v>0</v>
      </c>
      <c r="L772" s="521"/>
      <c r="M772" s="521"/>
      <c r="N772" s="521"/>
      <c r="O772" s="521"/>
      <c r="P772" s="521"/>
      <c r="Q772" s="521"/>
      <c r="R772" s="521"/>
      <c r="S772" s="521"/>
      <c r="T772" s="521"/>
      <c r="U772" s="521"/>
      <c r="V772" s="521"/>
      <c r="W772" s="521"/>
      <c r="X772" s="521">
        <f>SUM(L772:W772)</f>
        <v>0</v>
      </c>
      <c r="Y772" s="508"/>
    </row>
    <row r="773" spans="1:25">
      <c r="A773" s="501" t="s">
        <v>1252</v>
      </c>
      <c r="B773" s="502"/>
      <c r="C773" s="502"/>
      <c r="D773" s="502"/>
      <c r="E773" s="503"/>
      <c r="F773" s="476"/>
      <c r="G773" s="504"/>
      <c r="H773" s="505"/>
      <c r="I773" s="506"/>
      <c r="J773" s="507"/>
      <c r="K773" s="507">
        <f t="shared" si="162"/>
        <v>0</v>
      </c>
      <c r="L773" s="507">
        <f t="shared" ref="L773:X773" si="167">L807+L774</f>
        <v>192</v>
      </c>
      <c r="M773" s="507">
        <f t="shared" si="167"/>
        <v>192</v>
      </c>
      <c r="N773" s="507">
        <f t="shared" si="167"/>
        <v>8792</v>
      </c>
      <c r="O773" s="507">
        <f t="shared" si="167"/>
        <v>180105.81999999998</v>
      </c>
      <c r="P773" s="507">
        <f t="shared" si="167"/>
        <v>15702</v>
      </c>
      <c r="Q773" s="507">
        <f t="shared" si="167"/>
        <v>192</v>
      </c>
      <c r="R773" s="507">
        <f t="shared" si="167"/>
        <v>192</v>
      </c>
      <c r="S773" s="507">
        <f t="shared" si="167"/>
        <v>9872</v>
      </c>
      <c r="T773" s="507">
        <f t="shared" si="167"/>
        <v>26364.16</v>
      </c>
      <c r="U773" s="507">
        <f t="shared" si="167"/>
        <v>211.20000000000002</v>
      </c>
      <c r="V773" s="507">
        <f t="shared" si="167"/>
        <v>211.2</v>
      </c>
      <c r="W773" s="507">
        <f t="shared" si="167"/>
        <v>211.2</v>
      </c>
      <c r="X773" s="507">
        <f t="shared" si="167"/>
        <v>242237.57999999996</v>
      </c>
      <c r="Y773" s="508"/>
    </row>
    <row r="774" spans="1:25">
      <c r="A774" s="501" t="s">
        <v>1253</v>
      </c>
      <c r="B774" s="502"/>
      <c r="C774" s="502"/>
      <c r="D774" s="502"/>
      <c r="E774" s="503"/>
      <c r="F774" s="476"/>
      <c r="G774" s="504"/>
      <c r="H774" s="505"/>
      <c r="I774" s="506"/>
      <c r="J774" s="507"/>
      <c r="K774" s="507">
        <f t="shared" si="162"/>
        <v>0</v>
      </c>
      <c r="L774" s="507">
        <f t="shared" ref="L774:X774" si="168">SUM(L775:L806)</f>
        <v>192</v>
      </c>
      <c r="M774" s="507">
        <f t="shared" si="168"/>
        <v>192</v>
      </c>
      <c r="N774" s="507">
        <f t="shared" si="168"/>
        <v>8792</v>
      </c>
      <c r="O774" s="507">
        <f t="shared" si="168"/>
        <v>180105.81999999998</v>
      </c>
      <c r="P774" s="507">
        <f t="shared" si="168"/>
        <v>15702</v>
      </c>
      <c r="Q774" s="507">
        <f t="shared" si="168"/>
        <v>192</v>
      </c>
      <c r="R774" s="507">
        <f t="shared" si="168"/>
        <v>192</v>
      </c>
      <c r="S774" s="507">
        <f t="shared" si="168"/>
        <v>9872</v>
      </c>
      <c r="T774" s="507">
        <f t="shared" si="168"/>
        <v>26364.16</v>
      </c>
      <c r="U774" s="507">
        <f t="shared" si="168"/>
        <v>211.20000000000002</v>
      </c>
      <c r="V774" s="507">
        <f t="shared" si="168"/>
        <v>211.2</v>
      </c>
      <c r="W774" s="507">
        <f t="shared" si="168"/>
        <v>211.2</v>
      </c>
      <c r="X774" s="507">
        <f t="shared" si="168"/>
        <v>242237.57999999996</v>
      </c>
      <c r="Y774" s="508"/>
    </row>
    <row r="775" spans="1:25">
      <c r="A775" s="522" t="s">
        <v>1254</v>
      </c>
      <c r="B775" s="523"/>
      <c r="C775" s="524"/>
      <c r="D775" s="525"/>
      <c r="E775" s="526"/>
      <c r="F775" s="19"/>
      <c r="G775" s="518" t="s">
        <v>334</v>
      </c>
      <c r="H775" s="527"/>
      <c r="I775" s="528"/>
      <c r="J775" s="507"/>
      <c r="K775" s="507">
        <f>SUM(K776:K943)</f>
        <v>707156.19</v>
      </c>
      <c r="L775" s="521"/>
      <c r="M775" s="521"/>
      <c r="N775" s="521"/>
      <c r="O775" s="521">
        <f>SUM(O776:O943)</f>
        <v>179913.81999999998</v>
      </c>
      <c r="P775" s="521"/>
      <c r="Q775" s="521"/>
      <c r="R775" s="521"/>
      <c r="S775" s="521"/>
      <c r="T775" s="521"/>
      <c r="U775" s="521"/>
      <c r="V775" s="521"/>
      <c r="W775" s="521"/>
      <c r="X775" s="521">
        <f t="shared" ref="X775:X806" si="169">SUM(L775:W775)</f>
        <v>179913.81999999998</v>
      </c>
      <c r="Y775" s="508"/>
    </row>
    <row r="776" spans="1:25" ht="120">
      <c r="A776" s="522" t="s">
        <v>1254</v>
      </c>
      <c r="B776" s="529" t="s">
        <v>1255</v>
      </c>
      <c r="C776" s="530" t="s">
        <v>1256</v>
      </c>
      <c r="D776" s="531" t="s">
        <v>1257</v>
      </c>
      <c r="E776" s="532">
        <v>8800</v>
      </c>
      <c r="F776" s="533" t="s">
        <v>1258</v>
      </c>
      <c r="G776" s="518"/>
      <c r="H776" s="527">
        <v>1</v>
      </c>
      <c r="I776" s="528"/>
      <c r="J776" s="507">
        <v>2200</v>
      </c>
      <c r="K776" s="507">
        <f t="shared" ref="K776:K791" si="170">H776*J776</f>
        <v>2200</v>
      </c>
      <c r="L776" s="521">
        <v>0</v>
      </c>
      <c r="M776" s="521">
        <v>0</v>
      </c>
      <c r="N776" s="521">
        <v>0</v>
      </c>
      <c r="O776" s="521">
        <v>0</v>
      </c>
      <c r="P776" s="521">
        <v>0</v>
      </c>
      <c r="Q776" s="521" t="s">
        <v>334</v>
      </c>
      <c r="R776" s="521" t="s">
        <v>334</v>
      </c>
      <c r="S776" s="521" t="s">
        <v>334</v>
      </c>
      <c r="T776" s="521" t="s">
        <v>334</v>
      </c>
      <c r="U776" s="521" t="s">
        <v>334</v>
      </c>
      <c r="V776" s="521" t="s">
        <v>334</v>
      </c>
      <c r="W776" s="521" t="s">
        <v>334</v>
      </c>
      <c r="X776" s="521">
        <f t="shared" si="169"/>
        <v>0</v>
      </c>
      <c r="Y776" s="508"/>
    </row>
    <row r="777" spans="1:25" ht="120">
      <c r="A777" s="522" t="s">
        <v>1254</v>
      </c>
      <c r="B777" s="529" t="s">
        <v>1255</v>
      </c>
      <c r="C777" s="530" t="s">
        <v>1259</v>
      </c>
      <c r="D777" s="531" t="s">
        <v>1257</v>
      </c>
      <c r="E777" s="532">
        <v>8800</v>
      </c>
      <c r="F777" s="533" t="s">
        <v>1258</v>
      </c>
      <c r="G777" s="518"/>
      <c r="H777" s="527">
        <v>1</v>
      </c>
      <c r="I777" s="528"/>
      <c r="J777" s="507">
        <v>2300</v>
      </c>
      <c r="K777" s="507">
        <f t="shared" si="170"/>
        <v>2300</v>
      </c>
      <c r="L777" s="521">
        <v>0</v>
      </c>
      <c r="M777" s="521">
        <v>0</v>
      </c>
      <c r="N777" s="521">
        <v>2300</v>
      </c>
      <c r="O777" s="521">
        <v>0</v>
      </c>
      <c r="P777" s="521">
        <v>0</v>
      </c>
      <c r="Q777" s="521" t="s">
        <v>334</v>
      </c>
      <c r="R777" s="521" t="s">
        <v>334</v>
      </c>
      <c r="S777" s="521" t="s">
        <v>334</v>
      </c>
      <c r="T777" s="521" t="s">
        <v>334</v>
      </c>
      <c r="U777" s="521" t="s">
        <v>334</v>
      </c>
      <c r="V777" s="521" t="s">
        <v>334</v>
      </c>
      <c r="W777" s="521" t="s">
        <v>334</v>
      </c>
      <c r="X777" s="521">
        <f t="shared" si="169"/>
        <v>2300</v>
      </c>
      <c r="Y777" s="508"/>
    </row>
    <row r="778" spans="1:25" ht="150">
      <c r="A778" s="522" t="s">
        <v>1254</v>
      </c>
      <c r="B778" s="534" t="s">
        <v>1260</v>
      </c>
      <c r="C778" s="530" t="s">
        <v>1256</v>
      </c>
      <c r="D778" s="531" t="s">
        <v>1257</v>
      </c>
      <c r="E778" s="532">
        <v>17825</v>
      </c>
      <c r="F778" s="533" t="s">
        <v>1261</v>
      </c>
      <c r="G778" s="518"/>
      <c r="H778" s="527">
        <v>1</v>
      </c>
      <c r="I778" s="528"/>
      <c r="J778" s="507">
        <v>2800</v>
      </c>
      <c r="K778" s="507">
        <f t="shared" si="170"/>
        <v>2800</v>
      </c>
      <c r="L778" s="521">
        <v>0</v>
      </c>
      <c r="M778" s="521">
        <v>0</v>
      </c>
      <c r="N778" s="521">
        <v>0</v>
      </c>
      <c r="O778" s="521">
        <v>0</v>
      </c>
      <c r="P778" s="521">
        <v>0</v>
      </c>
      <c r="Q778" s="521" t="s">
        <v>334</v>
      </c>
      <c r="R778" s="521" t="s">
        <v>334</v>
      </c>
      <c r="S778" s="521" t="s">
        <v>334</v>
      </c>
      <c r="T778" s="521" t="s">
        <v>334</v>
      </c>
      <c r="U778" s="521" t="s">
        <v>334</v>
      </c>
      <c r="V778" s="521" t="s">
        <v>334</v>
      </c>
      <c r="W778" s="521" t="s">
        <v>334</v>
      </c>
      <c r="X778" s="521">
        <f t="shared" si="169"/>
        <v>0</v>
      </c>
      <c r="Y778" s="508"/>
    </row>
    <row r="779" spans="1:25" ht="150">
      <c r="A779" s="522" t="s">
        <v>1254</v>
      </c>
      <c r="B779" s="534" t="s">
        <v>1260</v>
      </c>
      <c r="C779" s="530" t="s">
        <v>1259</v>
      </c>
      <c r="D779" s="531" t="s">
        <v>1257</v>
      </c>
      <c r="E779" s="532">
        <v>17825</v>
      </c>
      <c r="F779" s="533" t="s">
        <v>1261</v>
      </c>
      <c r="G779" s="518"/>
      <c r="H779" s="527">
        <v>1</v>
      </c>
      <c r="I779" s="528"/>
      <c r="J779" s="507">
        <v>2300</v>
      </c>
      <c r="K779" s="507">
        <f t="shared" si="170"/>
        <v>2300</v>
      </c>
      <c r="L779" s="521">
        <v>0</v>
      </c>
      <c r="M779" s="521">
        <v>0</v>
      </c>
      <c r="N779" s="521">
        <v>2300</v>
      </c>
      <c r="O779" s="521">
        <v>0</v>
      </c>
      <c r="P779" s="521">
        <v>0</v>
      </c>
      <c r="Q779" s="521" t="s">
        <v>334</v>
      </c>
      <c r="R779" s="521" t="s">
        <v>334</v>
      </c>
      <c r="S779" s="521" t="s">
        <v>334</v>
      </c>
      <c r="T779" s="521" t="s">
        <v>334</v>
      </c>
      <c r="U779" s="521" t="s">
        <v>334</v>
      </c>
      <c r="V779" s="521" t="s">
        <v>334</v>
      </c>
      <c r="W779" s="521" t="s">
        <v>334</v>
      </c>
      <c r="X779" s="521">
        <f t="shared" si="169"/>
        <v>2300</v>
      </c>
      <c r="Y779" s="508"/>
    </row>
    <row r="780" spans="1:25" ht="90">
      <c r="A780" s="522" t="s">
        <v>1254</v>
      </c>
      <c r="B780" s="534" t="s">
        <v>1262</v>
      </c>
      <c r="C780" s="530" t="s">
        <v>1256</v>
      </c>
      <c r="D780" s="531" t="s">
        <v>1257</v>
      </c>
      <c r="E780" s="517">
        <v>16241</v>
      </c>
      <c r="F780" s="533" t="s">
        <v>1263</v>
      </c>
      <c r="G780" s="518"/>
      <c r="H780" s="527">
        <v>1</v>
      </c>
      <c r="I780" s="528"/>
      <c r="J780" s="507">
        <v>3800</v>
      </c>
      <c r="K780" s="507">
        <f t="shared" si="170"/>
        <v>3800</v>
      </c>
      <c r="L780" s="521">
        <v>0</v>
      </c>
      <c r="M780" s="521">
        <v>0</v>
      </c>
      <c r="N780" s="521">
        <v>0</v>
      </c>
      <c r="O780" s="521">
        <v>0</v>
      </c>
      <c r="P780" s="521">
        <v>0</v>
      </c>
      <c r="Q780" s="521" t="s">
        <v>334</v>
      </c>
      <c r="R780" s="521" t="s">
        <v>334</v>
      </c>
      <c r="S780" s="521" t="s">
        <v>334</v>
      </c>
      <c r="T780" s="521" t="s">
        <v>334</v>
      </c>
      <c r="U780" s="521" t="s">
        <v>334</v>
      </c>
      <c r="V780" s="521" t="s">
        <v>334</v>
      </c>
      <c r="W780" s="521" t="s">
        <v>334</v>
      </c>
      <c r="X780" s="521">
        <f t="shared" si="169"/>
        <v>0</v>
      </c>
      <c r="Y780" s="508"/>
    </row>
    <row r="781" spans="1:25" ht="90">
      <c r="A781" s="522" t="s">
        <v>1254</v>
      </c>
      <c r="B781" s="534" t="s">
        <v>1262</v>
      </c>
      <c r="C781" s="530" t="s">
        <v>1259</v>
      </c>
      <c r="D781" s="531" t="s">
        <v>1257</v>
      </c>
      <c r="E781" s="517">
        <v>16241</v>
      </c>
      <c r="F781" s="533" t="s">
        <v>1263</v>
      </c>
      <c r="G781" s="518"/>
      <c r="H781" s="527">
        <v>1</v>
      </c>
      <c r="I781" s="528"/>
      <c r="J781" s="507">
        <v>4000</v>
      </c>
      <c r="K781" s="507">
        <f t="shared" si="170"/>
        <v>4000</v>
      </c>
      <c r="L781" s="521">
        <v>0</v>
      </c>
      <c r="M781" s="521">
        <v>0</v>
      </c>
      <c r="N781" s="521">
        <v>4000</v>
      </c>
      <c r="O781" s="521">
        <v>0</v>
      </c>
      <c r="P781" s="521">
        <v>0</v>
      </c>
      <c r="Q781" s="521" t="s">
        <v>334</v>
      </c>
      <c r="R781" s="521" t="s">
        <v>334</v>
      </c>
      <c r="S781" s="521" t="s">
        <v>334</v>
      </c>
      <c r="T781" s="521" t="s">
        <v>334</v>
      </c>
      <c r="U781" s="521" t="s">
        <v>334</v>
      </c>
      <c r="V781" s="521" t="s">
        <v>334</v>
      </c>
      <c r="W781" s="521" t="s">
        <v>334</v>
      </c>
      <c r="X781" s="521">
        <f t="shared" si="169"/>
        <v>4000</v>
      </c>
      <c r="Y781" s="508"/>
    </row>
    <row r="782" spans="1:25" ht="90">
      <c r="A782" s="515" t="s">
        <v>1264</v>
      </c>
      <c r="B782" s="516"/>
      <c r="C782" s="535"/>
      <c r="D782" s="531" t="s">
        <v>1257</v>
      </c>
      <c r="E782" s="536"/>
      <c r="F782" s="533"/>
      <c r="G782" s="518" t="s">
        <v>1265</v>
      </c>
      <c r="H782" s="519"/>
      <c r="I782" s="520"/>
      <c r="J782" s="507"/>
      <c r="K782" s="507">
        <f t="shared" si="170"/>
        <v>0</v>
      </c>
      <c r="L782" s="521"/>
      <c r="M782" s="521"/>
      <c r="N782" s="521"/>
      <c r="O782" s="521"/>
      <c r="P782" s="521"/>
      <c r="Q782" s="521"/>
      <c r="R782" s="521"/>
      <c r="S782" s="521"/>
      <c r="T782" s="521"/>
      <c r="U782" s="521"/>
      <c r="V782" s="521"/>
      <c r="W782" s="521"/>
      <c r="X782" s="521">
        <f t="shared" si="169"/>
        <v>0</v>
      </c>
      <c r="Y782" s="508"/>
    </row>
    <row r="783" spans="1:25" ht="120">
      <c r="A783" s="515" t="s">
        <v>1264</v>
      </c>
      <c r="B783" s="537" t="s">
        <v>1266</v>
      </c>
      <c r="C783" s="517" t="s">
        <v>1267</v>
      </c>
      <c r="D783" s="531" t="s">
        <v>1257</v>
      </c>
      <c r="E783" s="536">
        <v>8800</v>
      </c>
      <c r="F783" s="533" t="s">
        <v>1258</v>
      </c>
      <c r="G783" s="518"/>
      <c r="H783" s="519">
        <v>1</v>
      </c>
      <c r="I783" s="520"/>
      <c r="J783" s="507">
        <f>J776*1.1</f>
        <v>2420</v>
      </c>
      <c r="K783" s="507">
        <f t="shared" si="170"/>
        <v>2420</v>
      </c>
      <c r="L783" s="521" t="s">
        <v>334</v>
      </c>
      <c r="M783" s="521" t="s">
        <v>334</v>
      </c>
      <c r="N783" s="521" t="s">
        <v>334</v>
      </c>
      <c r="O783" s="521" t="s">
        <v>334</v>
      </c>
      <c r="P783" s="521">
        <v>0</v>
      </c>
      <c r="Q783" s="521">
        <v>0</v>
      </c>
      <c r="R783" s="521">
        <v>0</v>
      </c>
      <c r="S783" s="521">
        <v>2420</v>
      </c>
      <c r="T783" s="521">
        <v>0</v>
      </c>
      <c r="U783" s="521">
        <v>0</v>
      </c>
      <c r="V783" s="521">
        <v>0</v>
      </c>
      <c r="W783" s="521">
        <v>0</v>
      </c>
      <c r="X783" s="521">
        <f t="shared" si="169"/>
        <v>2420</v>
      </c>
      <c r="Y783" s="508">
        <f>SUM(X783:X803)</f>
        <v>51350</v>
      </c>
    </row>
    <row r="784" spans="1:25" ht="120">
      <c r="A784" s="515" t="s">
        <v>1264</v>
      </c>
      <c r="B784" s="537" t="s">
        <v>1266</v>
      </c>
      <c r="C784" s="538" t="s">
        <v>1268</v>
      </c>
      <c r="D784" s="539" t="s">
        <v>1257</v>
      </c>
      <c r="E784" s="540">
        <v>8800</v>
      </c>
      <c r="F784" s="533" t="s">
        <v>1258</v>
      </c>
      <c r="G784" s="518"/>
      <c r="H784" s="519">
        <v>1</v>
      </c>
      <c r="I784" s="520"/>
      <c r="J784" s="507">
        <f>J777*1.1</f>
        <v>2530</v>
      </c>
      <c r="K784" s="507">
        <f t="shared" si="170"/>
        <v>2530</v>
      </c>
      <c r="L784" s="521" t="s">
        <v>334</v>
      </c>
      <c r="M784" s="521" t="s">
        <v>334</v>
      </c>
      <c r="N784" s="521" t="s">
        <v>334</v>
      </c>
      <c r="O784" s="521" t="s">
        <v>334</v>
      </c>
      <c r="P784" s="521">
        <v>0</v>
      </c>
      <c r="Q784" s="521">
        <v>0</v>
      </c>
      <c r="R784" s="521">
        <v>0</v>
      </c>
      <c r="S784" s="521">
        <v>0</v>
      </c>
      <c r="T784" s="521">
        <v>0</v>
      </c>
      <c r="U784" s="521">
        <v>0</v>
      </c>
      <c r="V784" s="521">
        <v>0</v>
      </c>
      <c r="W784" s="521">
        <v>0</v>
      </c>
      <c r="X784" s="521">
        <f t="shared" si="169"/>
        <v>0</v>
      </c>
      <c r="Y784" s="508"/>
    </row>
    <row r="785" spans="1:25" ht="120">
      <c r="A785" s="515" t="s">
        <v>1264</v>
      </c>
      <c r="B785" s="537" t="s">
        <v>1266</v>
      </c>
      <c r="C785" s="538" t="s">
        <v>1269</v>
      </c>
      <c r="D785" s="541" t="s">
        <v>1257</v>
      </c>
      <c r="E785" s="517">
        <v>8800</v>
      </c>
      <c r="F785" s="533" t="s">
        <v>1258</v>
      </c>
      <c r="G785" s="518"/>
      <c r="H785" s="519">
        <v>1</v>
      </c>
      <c r="I785" s="520"/>
      <c r="J785" s="507">
        <f>850*1.2</f>
        <v>1020</v>
      </c>
      <c r="K785" s="507">
        <f t="shared" si="170"/>
        <v>1020</v>
      </c>
      <c r="L785" s="521" t="s">
        <v>334</v>
      </c>
      <c r="M785" s="521" t="s">
        <v>334</v>
      </c>
      <c r="N785" s="521" t="s">
        <v>334</v>
      </c>
      <c r="O785" s="521" t="s">
        <v>334</v>
      </c>
      <c r="P785" s="521">
        <v>2530</v>
      </c>
      <c r="Q785" s="521">
        <v>0</v>
      </c>
      <c r="R785" s="521">
        <v>0</v>
      </c>
      <c r="S785" s="521">
        <v>0</v>
      </c>
      <c r="T785" s="521">
        <v>0</v>
      </c>
      <c r="U785" s="521">
        <v>0</v>
      </c>
      <c r="V785" s="521">
        <v>0</v>
      </c>
      <c r="W785" s="521">
        <v>0</v>
      </c>
      <c r="X785" s="521">
        <f t="shared" si="169"/>
        <v>2530</v>
      </c>
      <c r="Y785" s="508"/>
    </row>
    <row r="786" spans="1:25" ht="165">
      <c r="A786" s="542" t="s">
        <v>1264</v>
      </c>
      <c r="B786" s="531" t="s">
        <v>1270</v>
      </c>
      <c r="C786" s="519" t="s">
        <v>1267</v>
      </c>
      <c r="D786" s="541" t="s">
        <v>1257</v>
      </c>
      <c r="E786" s="517">
        <v>17825</v>
      </c>
      <c r="F786" s="533" t="s">
        <v>1261</v>
      </c>
      <c r="G786" s="518"/>
      <c r="H786" s="519">
        <v>1</v>
      </c>
      <c r="I786" s="520"/>
      <c r="J786" s="507">
        <f>J778*1.1</f>
        <v>3080.0000000000005</v>
      </c>
      <c r="K786" s="507">
        <f t="shared" si="170"/>
        <v>3080.0000000000005</v>
      </c>
      <c r="L786" s="521" t="s">
        <v>334</v>
      </c>
      <c r="M786" s="521" t="s">
        <v>334</v>
      </c>
      <c r="N786" s="521" t="s">
        <v>334</v>
      </c>
      <c r="O786" s="521" t="s">
        <v>334</v>
      </c>
      <c r="P786" s="521">
        <v>0</v>
      </c>
      <c r="Q786" s="521">
        <v>0</v>
      </c>
      <c r="R786" s="521">
        <v>0</v>
      </c>
      <c r="S786" s="521">
        <v>3080</v>
      </c>
      <c r="T786" s="521">
        <v>0</v>
      </c>
      <c r="U786" s="521">
        <v>0</v>
      </c>
      <c r="V786" s="521">
        <v>0</v>
      </c>
      <c r="W786" s="521">
        <v>0</v>
      </c>
      <c r="X786" s="521">
        <f t="shared" si="169"/>
        <v>3080</v>
      </c>
      <c r="Y786" s="508"/>
    </row>
    <row r="787" spans="1:25" ht="165">
      <c r="A787" s="542" t="s">
        <v>1264</v>
      </c>
      <c r="B787" s="531" t="s">
        <v>1270</v>
      </c>
      <c r="C787" s="519" t="s">
        <v>1268</v>
      </c>
      <c r="D787" s="541" t="s">
        <v>1257</v>
      </c>
      <c r="E787" s="517">
        <v>17825</v>
      </c>
      <c r="F787" s="533" t="s">
        <v>1261</v>
      </c>
      <c r="G787" s="518"/>
      <c r="H787" s="519">
        <v>1</v>
      </c>
      <c r="I787" s="520"/>
      <c r="J787" s="507">
        <f>J779*1.1</f>
        <v>2530</v>
      </c>
      <c r="K787" s="507">
        <f t="shared" si="170"/>
        <v>2530</v>
      </c>
      <c r="L787" s="521" t="s">
        <v>334</v>
      </c>
      <c r="M787" s="521" t="s">
        <v>334</v>
      </c>
      <c r="N787" s="521" t="s">
        <v>334</v>
      </c>
      <c r="O787" s="521" t="s">
        <v>334</v>
      </c>
      <c r="P787" s="521">
        <v>0</v>
      </c>
      <c r="Q787" s="521">
        <v>0</v>
      </c>
      <c r="R787" s="521">
        <v>0</v>
      </c>
      <c r="S787" s="521">
        <v>0</v>
      </c>
      <c r="T787" s="521">
        <v>0</v>
      </c>
      <c r="U787" s="521">
        <v>0</v>
      </c>
      <c r="V787" s="521">
        <v>0</v>
      </c>
      <c r="W787" s="521">
        <v>0</v>
      </c>
      <c r="X787" s="521">
        <f t="shared" si="169"/>
        <v>0</v>
      </c>
      <c r="Y787" s="508"/>
    </row>
    <row r="788" spans="1:25" ht="165">
      <c r="A788" s="515" t="s">
        <v>1264</v>
      </c>
      <c r="B788" s="531" t="s">
        <v>1270</v>
      </c>
      <c r="C788" s="538" t="s">
        <v>1269</v>
      </c>
      <c r="D788" s="541" t="s">
        <v>1257</v>
      </c>
      <c r="E788" s="517">
        <v>17825</v>
      </c>
      <c r="F788" s="533" t="s">
        <v>1261</v>
      </c>
      <c r="G788" s="518"/>
      <c r="H788" s="519">
        <v>1</v>
      </c>
      <c r="I788" s="520"/>
      <c r="J788" s="507">
        <f>1200*1.2</f>
        <v>1440</v>
      </c>
      <c r="K788" s="507">
        <f t="shared" si="170"/>
        <v>1440</v>
      </c>
      <c r="L788" s="521" t="s">
        <v>334</v>
      </c>
      <c r="M788" s="521" t="s">
        <v>334</v>
      </c>
      <c r="N788" s="521" t="s">
        <v>334</v>
      </c>
      <c r="O788" s="521" t="s">
        <v>334</v>
      </c>
      <c r="P788" s="521">
        <v>3080</v>
      </c>
      <c r="Q788" s="521">
        <v>0</v>
      </c>
      <c r="R788" s="521">
        <v>0</v>
      </c>
      <c r="S788" s="521">
        <v>0</v>
      </c>
      <c r="T788" s="521">
        <v>0</v>
      </c>
      <c r="U788" s="521">
        <v>0</v>
      </c>
      <c r="V788" s="521">
        <v>0</v>
      </c>
      <c r="W788" s="521">
        <v>0</v>
      </c>
      <c r="X788" s="521">
        <f t="shared" si="169"/>
        <v>3080</v>
      </c>
      <c r="Y788" s="508"/>
    </row>
    <row r="789" spans="1:25" ht="90">
      <c r="A789" s="515" t="s">
        <v>1264</v>
      </c>
      <c r="B789" s="537" t="s">
        <v>1271</v>
      </c>
      <c r="C789" s="538" t="s">
        <v>1267</v>
      </c>
      <c r="D789" s="541" t="s">
        <v>1257</v>
      </c>
      <c r="E789" s="517">
        <v>16241</v>
      </c>
      <c r="F789" s="533" t="s">
        <v>1263</v>
      </c>
      <c r="G789" s="518"/>
      <c r="H789" s="519">
        <v>1</v>
      </c>
      <c r="I789" s="520"/>
      <c r="J789" s="507">
        <f>J780*1.1</f>
        <v>4180</v>
      </c>
      <c r="K789" s="507">
        <f t="shared" si="170"/>
        <v>4180</v>
      </c>
      <c r="L789" s="521" t="s">
        <v>334</v>
      </c>
      <c r="M789" s="521" t="s">
        <v>334</v>
      </c>
      <c r="N789" s="521" t="s">
        <v>334</v>
      </c>
      <c r="O789" s="521" t="s">
        <v>334</v>
      </c>
      <c r="P789" s="521">
        <v>0</v>
      </c>
      <c r="Q789" s="521">
        <v>0</v>
      </c>
      <c r="R789" s="521">
        <v>0</v>
      </c>
      <c r="S789" s="521">
        <v>4180</v>
      </c>
      <c r="T789" s="521">
        <v>0</v>
      </c>
      <c r="U789" s="521">
        <v>0</v>
      </c>
      <c r="V789" s="521">
        <v>0</v>
      </c>
      <c r="W789" s="521">
        <v>0</v>
      </c>
      <c r="X789" s="521">
        <f t="shared" si="169"/>
        <v>4180</v>
      </c>
      <c r="Y789" s="508"/>
    </row>
    <row r="790" spans="1:25" ht="90">
      <c r="A790" s="515" t="s">
        <v>1264</v>
      </c>
      <c r="B790" s="537" t="s">
        <v>1271</v>
      </c>
      <c r="C790" s="538" t="s">
        <v>1268</v>
      </c>
      <c r="D790" s="541" t="s">
        <v>1257</v>
      </c>
      <c r="E790" s="517">
        <v>16241</v>
      </c>
      <c r="F790" s="533" t="s">
        <v>1263</v>
      </c>
      <c r="G790" s="518"/>
      <c r="H790" s="519">
        <v>1</v>
      </c>
      <c r="I790" s="520"/>
      <c r="J790" s="507">
        <f>J781*1.1</f>
        <v>4400</v>
      </c>
      <c r="K790" s="507">
        <f t="shared" si="170"/>
        <v>4400</v>
      </c>
      <c r="L790" s="521" t="s">
        <v>334</v>
      </c>
      <c r="M790" s="521" t="s">
        <v>334</v>
      </c>
      <c r="N790" s="521" t="s">
        <v>334</v>
      </c>
      <c r="O790" s="521" t="s">
        <v>334</v>
      </c>
      <c r="P790" s="521">
        <v>0</v>
      </c>
      <c r="Q790" s="521">
        <v>0</v>
      </c>
      <c r="R790" s="521">
        <v>0</v>
      </c>
      <c r="S790" s="521">
        <v>0</v>
      </c>
      <c r="T790" s="521">
        <v>0</v>
      </c>
      <c r="U790" s="521">
        <v>0</v>
      </c>
      <c r="V790" s="521">
        <v>0</v>
      </c>
      <c r="W790" s="521">
        <v>0</v>
      </c>
      <c r="X790" s="521">
        <f t="shared" si="169"/>
        <v>0</v>
      </c>
      <c r="Y790" s="508"/>
    </row>
    <row r="791" spans="1:25" ht="90">
      <c r="A791" s="515" t="s">
        <v>1264</v>
      </c>
      <c r="B791" s="537" t="s">
        <v>1271</v>
      </c>
      <c r="C791" s="538" t="s">
        <v>1269</v>
      </c>
      <c r="D791" s="541" t="s">
        <v>1257</v>
      </c>
      <c r="E791" s="517">
        <v>16241</v>
      </c>
      <c r="F791" s="533" t="s">
        <v>1263</v>
      </c>
      <c r="G791" s="518"/>
      <c r="H791" s="519">
        <v>1</v>
      </c>
      <c r="I791" s="520"/>
      <c r="J791" s="507">
        <f>3800*1.2</f>
        <v>4560</v>
      </c>
      <c r="K791" s="507">
        <f t="shared" si="170"/>
        <v>4560</v>
      </c>
      <c r="L791" s="521" t="s">
        <v>334</v>
      </c>
      <c r="M791" s="521" t="s">
        <v>334</v>
      </c>
      <c r="N791" s="521" t="s">
        <v>334</v>
      </c>
      <c r="O791" s="521" t="s">
        <v>334</v>
      </c>
      <c r="P791" s="521">
        <v>4400</v>
      </c>
      <c r="Q791" s="521">
        <v>0</v>
      </c>
      <c r="R791" s="521">
        <v>0</v>
      </c>
      <c r="S791" s="521">
        <v>0</v>
      </c>
      <c r="T791" s="521">
        <v>0</v>
      </c>
      <c r="U791" s="521">
        <v>0</v>
      </c>
      <c r="V791" s="521">
        <v>0</v>
      </c>
      <c r="W791" s="521">
        <v>0</v>
      </c>
      <c r="X791" s="521">
        <f t="shared" si="169"/>
        <v>4400</v>
      </c>
      <c r="Y791" s="508"/>
    </row>
    <row r="792" spans="1:25" ht="90">
      <c r="A792" s="515" t="s">
        <v>1264</v>
      </c>
      <c r="B792" s="537" t="s">
        <v>1272</v>
      </c>
      <c r="C792" s="538" t="s">
        <v>1267</v>
      </c>
      <c r="D792" s="541" t="s">
        <v>1257</v>
      </c>
      <c r="E792" s="517">
        <v>8800</v>
      </c>
      <c r="F792" s="533" t="s">
        <v>1258</v>
      </c>
      <c r="G792" s="518"/>
      <c r="H792" s="519">
        <v>250</v>
      </c>
      <c r="I792" s="520"/>
      <c r="J792" s="507">
        <v>20</v>
      </c>
      <c r="K792" s="507">
        <f t="shared" ref="K792:K803" si="171">J792*H792</f>
        <v>5000</v>
      </c>
      <c r="L792" s="521" t="s">
        <v>334</v>
      </c>
      <c r="M792" s="521" t="s">
        <v>334</v>
      </c>
      <c r="N792" s="521" t="s">
        <v>334</v>
      </c>
      <c r="O792" s="521" t="s">
        <v>334</v>
      </c>
      <c r="P792" s="521">
        <f>K792</f>
        <v>5000</v>
      </c>
      <c r="Q792" s="521">
        <v>0</v>
      </c>
      <c r="R792" s="521">
        <v>0</v>
      </c>
      <c r="S792" s="521">
        <v>0</v>
      </c>
      <c r="T792" s="521">
        <v>0</v>
      </c>
      <c r="U792" s="521">
        <v>0</v>
      </c>
      <c r="V792" s="521">
        <v>0</v>
      </c>
      <c r="W792" s="521">
        <v>0</v>
      </c>
      <c r="X792" s="521">
        <f t="shared" si="169"/>
        <v>5000</v>
      </c>
      <c r="Y792" s="508"/>
    </row>
    <row r="793" spans="1:25" ht="90">
      <c r="A793" s="515" t="s">
        <v>1264</v>
      </c>
      <c r="B793" s="537" t="s">
        <v>1272</v>
      </c>
      <c r="C793" s="538" t="s">
        <v>1268</v>
      </c>
      <c r="D793" s="541" t="s">
        <v>1257</v>
      </c>
      <c r="E793" s="517">
        <v>8800</v>
      </c>
      <c r="F793" s="533" t="s">
        <v>1258</v>
      </c>
      <c r="G793" s="518"/>
      <c r="H793" s="519">
        <v>20</v>
      </c>
      <c r="I793" s="520"/>
      <c r="J793" s="507">
        <v>20</v>
      </c>
      <c r="K793" s="507">
        <f t="shared" si="171"/>
        <v>400</v>
      </c>
      <c r="L793" s="521" t="s">
        <v>334</v>
      </c>
      <c r="M793" s="521" t="s">
        <v>334</v>
      </c>
      <c r="N793" s="521" t="s">
        <v>334</v>
      </c>
      <c r="O793" s="521" t="s">
        <v>334</v>
      </c>
      <c r="P793" s="521">
        <f>K793</f>
        <v>400</v>
      </c>
      <c r="Q793" s="521">
        <v>0</v>
      </c>
      <c r="R793" s="521">
        <v>0</v>
      </c>
      <c r="S793" s="521">
        <v>0</v>
      </c>
      <c r="T793" s="521">
        <v>0</v>
      </c>
      <c r="U793" s="521">
        <v>0</v>
      </c>
      <c r="V793" s="521">
        <v>0</v>
      </c>
      <c r="W793" s="521">
        <v>0</v>
      </c>
      <c r="X793" s="521">
        <f t="shared" si="169"/>
        <v>400</v>
      </c>
      <c r="Y793" s="508"/>
    </row>
    <row r="794" spans="1:25" ht="90">
      <c r="A794" s="515" t="s">
        <v>1264</v>
      </c>
      <c r="B794" s="537" t="s">
        <v>1272</v>
      </c>
      <c r="C794" s="538" t="s">
        <v>1269</v>
      </c>
      <c r="D794" s="541" t="s">
        <v>1257</v>
      </c>
      <c r="E794" s="517">
        <v>8800</v>
      </c>
      <c r="F794" s="533" t="s">
        <v>1258</v>
      </c>
      <c r="G794" s="518"/>
      <c r="H794" s="519">
        <v>5</v>
      </c>
      <c r="I794" s="520"/>
      <c r="J794" s="507">
        <v>20</v>
      </c>
      <c r="K794" s="507">
        <f t="shared" si="171"/>
        <v>100</v>
      </c>
      <c r="L794" s="521" t="s">
        <v>334</v>
      </c>
      <c r="M794" s="521" t="s">
        <v>334</v>
      </c>
      <c r="N794" s="521" t="s">
        <v>334</v>
      </c>
      <c r="O794" s="521" t="s">
        <v>334</v>
      </c>
      <c r="P794" s="521">
        <f>K794</f>
        <v>100</v>
      </c>
      <c r="Q794" s="521">
        <v>0</v>
      </c>
      <c r="R794" s="521">
        <v>0</v>
      </c>
      <c r="S794" s="521">
        <v>0</v>
      </c>
      <c r="T794" s="521">
        <v>0</v>
      </c>
      <c r="U794" s="521">
        <v>0</v>
      </c>
      <c r="V794" s="521">
        <v>0</v>
      </c>
      <c r="W794" s="521">
        <v>0</v>
      </c>
      <c r="X794" s="521">
        <f t="shared" si="169"/>
        <v>100</v>
      </c>
      <c r="Y794" s="508"/>
    </row>
    <row r="795" spans="1:25" ht="90">
      <c r="A795" s="515" t="s">
        <v>1264</v>
      </c>
      <c r="B795" s="537" t="s">
        <v>1273</v>
      </c>
      <c r="C795" s="538" t="s">
        <v>1267</v>
      </c>
      <c r="D795" s="541" t="s">
        <v>1257</v>
      </c>
      <c r="E795" s="517">
        <v>8800</v>
      </c>
      <c r="F795" s="533" t="s">
        <v>1258</v>
      </c>
      <c r="G795" s="518"/>
      <c r="H795" s="519">
        <v>2</v>
      </c>
      <c r="I795" s="520"/>
      <c r="J795" s="507">
        <f t="shared" ref="J795:J803" si="172">J783</f>
        <v>2420</v>
      </c>
      <c r="K795" s="507">
        <f t="shared" si="171"/>
        <v>4840</v>
      </c>
      <c r="L795" s="521" t="s">
        <v>334</v>
      </c>
      <c r="M795" s="521" t="s">
        <v>334</v>
      </c>
      <c r="N795" s="521" t="s">
        <v>334</v>
      </c>
      <c r="O795" s="521" t="s">
        <v>334</v>
      </c>
      <c r="P795" s="521">
        <v>0</v>
      </c>
      <c r="Q795" s="521">
        <v>0</v>
      </c>
      <c r="R795" s="521">
        <v>0</v>
      </c>
      <c r="S795" s="521">
        <v>0</v>
      </c>
      <c r="T795" s="521">
        <f t="shared" ref="T795:T803" si="173">J795</f>
        <v>2420</v>
      </c>
      <c r="U795" s="521">
        <v>0</v>
      </c>
      <c r="V795" s="521">
        <v>0</v>
      </c>
      <c r="W795" s="521">
        <v>0</v>
      </c>
      <c r="X795" s="521">
        <f t="shared" si="169"/>
        <v>2420</v>
      </c>
      <c r="Y795" s="508"/>
    </row>
    <row r="796" spans="1:25" ht="90">
      <c r="A796" s="515" t="s">
        <v>1264</v>
      </c>
      <c r="B796" s="537" t="s">
        <v>1273</v>
      </c>
      <c r="C796" s="538" t="s">
        <v>1268</v>
      </c>
      <c r="D796" s="541" t="s">
        <v>1257</v>
      </c>
      <c r="E796" s="538">
        <v>8800</v>
      </c>
      <c r="F796" s="543" t="s">
        <v>1258</v>
      </c>
      <c r="G796" s="544"/>
      <c r="H796" s="538">
        <v>2</v>
      </c>
      <c r="I796" s="520"/>
      <c r="J796" s="507">
        <f t="shared" si="172"/>
        <v>2530</v>
      </c>
      <c r="K796" s="507">
        <f t="shared" si="171"/>
        <v>5060</v>
      </c>
      <c r="L796" s="521" t="s">
        <v>334</v>
      </c>
      <c r="M796" s="521" t="s">
        <v>334</v>
      </c>
      <c r="N796" s="521" t="s">
        <v>334</v>
      </c>
      <c r="O796" s="521" t="s">
        <v>334</v>
      </c>
      <c r="P796" s="521">
        <v>0</v>
      </c>
      <c r="Q796" s="521">
        <v>0</v>
      </c>
      <c r="R796" s="521">
        <v>0</v>
      </c>
      <c r="S796" s="521">
        <v>0</v>
      </c>
      <c r="T796" s="521">
        <f t="shared" si="173"/>
        <v>2530</v>
      </c>
      <c r="U796" s="521">
        <v>0</v>
      </c>
      <c r="V796" s="521">
        <v>0</v>
      </c>
      <c r="W796" s="521">
        <v>0</v>
      </c>
      <c r="X796" s="521">
        <f t="shared" si="169"/>
        <v>2530</v>
      </c>
      <c r="Y796" s="508"/>
    </row>
    <row r="797" spans="1:25" ht="90">
      <c r="A797" s="515" t="s">
        <v>1264</v>
      </c>
      <c r="B797" s="537" t="s">
        <v>1273</v>
      </c>
      <c r="C797" s="538" t="s">
        <v>1269</v>
      </c>
      <c r="D797" s="541" t="s">
        <v>1257</v>
      </c>
      <c r="E797" s="538">
        <v>8800</v>
      </c>
      <c r="F797" s="545" t="s">
        <v>1258</v>
      </c>
      <c r="G797" s="546"/>
      <c r="H797" s="538">
        <v>2</v>
      </c>
      <c r="I797" s="520"/>
      <c r="J797" s="507">
        <f t="shared" si="172"/>
        <v>1020</v>
      </c>
      <c r="K797" s="507">
        <f t="shared" si="171"/>
        <v>2040</v>
      </c>
      <c r="L797" s="521" t="s">
        <v>334</v>
      </c>
      <c r="M797" s="521" t="s">
        <v>334</v>
      </c>
      <c r="N797" s="521" t="s">
        <v>334</v>
      </c>
      <c r="O797" s="521" t="s">
        <v>334</v>
      </c>
      <c r="P797" s="521">
        <v>0</v>
      </c>
      <c r="Q797" s="521">
        <v>0</v>
      </c>
      <c r="R797" s="521">
        <v>0</v>
      </c>
      <c r="S797" s="521">
        <v>0</v>
      </c>
      <c r="T797" s="521">
        <f t="shared" si="173"/>
        <v>1020</v>
      </c>
      <c r="U797" s="521">
        <v>0</v>
      </c>
      <c r="V797" s="521">
        <v>0</v>
      </c>
      <c r="W797" s="521">
        <v>0</v>
      </c>
      <c r="X797" s="521">
        <f t="shared" si="169"/>
        <v>1020</v>
      </c>
      <c r="Y797" s="508"/>
    </row>
    <row r="798" spans="1:25" ht="90">
      <c r="A798" s="515" t="s">
        <v>1264</v>
      </c>
      <c r="B798" s="537" t="s">
        <v>1274</v>
      </c>
      <c r="C798" s="538" t="s">
        <v>1267</v>
      </c>
      <c r="D798" s="541" t="s">
        <v>1257</v>
      </c>
      <c r="E798" s="517">
        <v>17825</v>
      </c>
      <c r="F798" s="533" t="s">
        <v>1261</v>
      </c>
      <c r="G798" s="547"/>
      <c r="H798" s="538">
        <v>2</v>
      </c>
      <c r="I798" s="520"/>
      <c r="J798" s="507">
        <f t="shared" si="172"/>
        <v>3080.0000000000005</v>
      </c>
      <c r="K798" s="507">
        <f t="shared" si="171"/>
        <v>6160.0000000000009</v>
      </c>
      <c r="L798" s="521" t="s">
        <v>334</v>
      </c>
      <c r="M798" s="521" t="s">
        <v>334</v>
      </c>
      <c r="N798" s="521" t="s">
        <v>334</v>
      </c>
      <c r="O798" s="521" t="s">
        <v>334</v>
      </c>
      <c r="P798" s="521">
        <v>0</v>
      </c>
      <c r="Q798" s="521">
        <v>0</v>
      </c>
      <c r="R798" s="521">
        <v>0</v>
      </c>
      <c r="S798" s="521">
        <v>0</v>
      </c>
      <c r="T798" s="521">
        <f t="shared" si="173"/>
        <v>3080.0000000000005</v>
      </c>
      <c r="U798" s="521">
        <v>0</v>
      </c>
      <c r="V798" s="521">
        <v>0</v>
      </c>
      <c r="W798" s="521">
        <v>0</v>
      </c>
      <c r="X798" s="521">
        <f t="shared" si="169"/>
        <v>3080.0000000000005</v>
      </c>
      <c r="Y798" s="508"/>
    </row>
    <row r="799" spans="1:25" ht="90">
      <c r="A799" s="515" t="s">
        <v>1264</v>
      </c>
      <c r="B799" s="537" t="s">
        <v>1274</v>
      </c>
      <c r="C799" s="538" t="s">
        <v>1268</v>
      </c>
      <c r="D799" s="541" t="s">
        <v>1257</v>
      </c>
      <c r="E799" s="517">
        <v>17825</v>
      </c>
      <c r="F799" s="533" t="s">
        <v>1261</v>
      </c>
      <c r="G799" s="547"/>
      <c r="H799" s="538">
        <v>2</v>
      </c>
      <c r="I799" s="520"/>
      <c r="J799" s="507">
        <f t="shared" si="172"/>
        <v>2530</v>
      </c>
      <c r="K799" s="507">
        <f t="shared" si="171"/>
        <v>5060</v>
      </c>
      <c r="L799" s="521" t="s">
        <v>334</v>
      </c>
      <c r="M799" s="521" t="s">
        <v>334</v>
      </c>
      <c r="N799" s="521" t="s">
        <v>334</v>
      </c>
      <c r="O799" s="521" t="s">
        <v>334</v>
      </c>
      <c r="P799" s="521">
        <v>0</v>
      </c>
      <c r="Q799" s="521">
        <v>0</v>
      </c>
      <c r="R799" s="521">
        <v>0</v>
      </c>
      <c r="S799" s="521">
        <v>0</v>
      </c>
      <c r="T799" s="521">
        <f t="shared" si="173"/>
        <v>2530</v>
      </c>
      <c r="U799" s="521">
        <v>0</v>
      </c>
      <c r="V799" s="521">
        <v>0</v>
      </c>
      <c r="W799" s="521">
        <v>0</v>
      </c>
      <c r="X799" s="521">
        <f t="shared" si="169"/>
        <v>2530</v>
      </c>
      <c r="Y799" s="508"/>
    </row>
    <row r="800" spans="1:25" ht="90">
      <c r="A800" s="515" t="s">
        <v>1264</v>
      </c>
      <c r="B800" s="537" t="s">
        <v>1274</v>
      </c>
      <c r="C800" s="538" t="s">
        <v>1269</v>
      </c>
      <c r="D800" s="541" t="s">
        <v>1257</v>
      </c>
      <c r="E800" s="517">
        <v>17825</v>
      </c>
      <c r="F800" s="533" t="s">
        <v>1261</v>
      </c>
      <c r="G800" s="547"/>
      <c r="H800" s="538">
        <v>2</v>
      </c>
      <c r="I800" s="520"/>
      <c r="J800" s="507">
        <f t="shared" si="172"/>
        <v>1440</v>
      </c>
      <c r="K800" s="507">
        <f t="shared" si="171"/>
        <v>2880</v>
      </c>
      <c r="L800" s="521" t="s">
        <v>334</v>
      </c>
      <c r="M800" s="521" t="s">
        <v>334</v>
      </c>
      <c r="N800" s="521" t="s">
        <v>334</v>
      </c>
      <c r="O800" s="521" t="s">
        <v>334</v>
      </c>
      <c r="P800" s="521">
        <v>0</v>
      </c>
      <c r="Q800" s="521">
        <v>0</v>
      </c>
      <c r="R800" s="521">
        <v>0</v>
      </c>
      <c r="S800" s="521">
        <v>0</v>
      </c>
      <c r="T800" s="521">
        <f t="shared" si="173"/>
        <v>1440</v>
      </c>
      <c r="U800" s="521">
        <v>0</v>
      </c>
      <c r="V800" s="521">
        <v>0</v>
      </c>
      <c r="W800" s="521">
        <v>0</v>
      </c>
      <c r="X800" s="521">
        <f t="shared" si="169"/>
        <v>1440</v>
      </c>
      <c r="Y800" s="508"/>
    </row>
    <row r="801" spans="1:25" ht="90">
      <c r="A801" s="515" t="s">
        <v>1264</v>
      </c>
      <c r="B801" s="537" t="s">
        <v>1275</v>
      </c>
      <c r="C801" s="538" t="s">
        <v>1267</v>
      </c>
      <c r="D801" s="541" t="s">
        <v>1257</v>
      </c>
      <c r="E801" s="517">
        <v>16241</v>
      </c>
      <c r="F801" s="533" t="s">
        <v>1263</v>
      </c>
      <c r="G801" s="547"/>
      <c r="H801" s="538">
        <v>2</v>
      </c>
      <c r="I801" s="520"/>
      <c r="J801" s="507">
        <f t="shared" si="172"/>
        <v>4180</v>
      </c>
      <c r="K801" s="507">
        <f t="shared" si="171"/>
        <v>8360</v>
      </c>
      <c r="L801" s="521" t="s">
        <v>334</v>
      </c>
      <c r="M801" s="521" t="s">
        <v>334</v>
      </c>
      <c r="N801" s="521" t="s">
        <v>334</v>
      </c>
      <c r="O801" s="521" t="s">
        <v>334</v>
      </c>
      <c r="P801" s="521">
        <v>0</v>
      </c>
      <c r="Q801" s="521">
        <v>0</v>
      </c>
      <c r="R801" s="521">
        <v>0</v>
      </c>
      <c r="S801" s="521">
        <v>0</v>
      </c>
      <c r="T801" s="521">
        <f t="shared" si="173"/>
        <v>4180</v>
      </c>
      <c r="U801" s="521">
        <v>0</v>
      </c>
      <c r="V801" s="521">
        <v>0</v>
      </c>
      <c r="W801" s="521">
        <v>0</v>
      </c>
      <c r="X801" s="521">
        <f t="shared" si="169"/>
        <v>4180</v>
      </c>
      <c r="Y801" s="508"/>
    </row>
    <row r="802" spans="1:25" ht="90">
      <c r="A802" s="515" t="s">
        <v>1264</v>
      </c>
      <c r="B802" s="537" t="s">
        <v>1275</v>
      </c>
      <c r="C802" s="538" t="s">
        <v>1268</v>
      </c>
      <c r="D802" s="541" t="s">
        <v>1257</v>
      </c>
      <c r="E802" s="517">
        <v>16241</v>
      </c>
      <c r="F802" s="533" t="s">
        <v>1263</v>
      </c>
      <c r="G802" s="547"/>
      <c r="H802" s="538">
        <v>2</v>
      </c>
      <c r="I802" s="520"/>
      <c r="J802" s="507">
        <f t="shared" si="172"/>
        <v>4400</v>
      </c>
      <c r="K802" s="507">
        <f t="shared" si="171"/>
        <v>8800</v>
      </c>
      <c r="L802" s="521" t="s">
        <v>334</v>
      </c>
      <c r="M802" s="521" t="s">
        <v>334</v>
      </c>
      <c r="N802" s="521" t="s">
        <v>334</v>
      </c>
      <c r="O802" s="521" t="s">
        <v>334</v>
      </c>
      <c r="P802" s="521">
        <v>0</v>
      </c>
      <c r="Q802" s="521">
        <v>0</v>
      </c>
      <c r="R802" s="521">
        <v>0</v>
      </c>
      <c r="S802" s="521">
        <v>0</v>
      </c>
      <c r="T802" s="521">
        <f t="shared" si="173"/>
        <v>4400</v>
      </c>
      <c r="U802" s="521">
        <v>0</v>
      </c>
      <c r="V802" s="521">
        <v>0</v>
      </c>
      <c r="W802" s="521">
        <v>0</v>
      </c>
      <c r="X802" s="521">
        <f t="shared" si="169"/>
        <v>4400</v>
      </c>
      <c r="Y802" s="508"/>
    </row>
    <row r="803" spans="1:25" ht="90">
      <c r="A803" s="515" t="s">
        <v>1264</v>
      </c>
      <c r="B803" s="537" t="s">
        <v>1275</v>
      </c>
      <c r="C803" s="538" t="s">
        <v>1269</v>
      </c>
      <c r="D803" s="541" t="s">
        <v>1257</v>
      </c>
      <c r="E803" s="517">
        <v>16241</v>
      </c>
      <c r="F803" s="533" t="s">
        <v>1263</v>
      </c>
      <c r="G803" s="547"/>
      <c r="H803" s="538">
        <v>2</v>
      </c>
      <c r="I803" s="520"/>
      <c r="J803" s="507">
        <f t="shared" si="172"/>
        <v>4560</v>
      </c>
      <c r="K803" s="507">
        <f t="shared" si="171"/>
        <v>9120</v>
      </c>
      <c r="L803" s="521" t="s">
        <v>334</v>
      </c>
      <c r="M803" s="521" t="s">
        <v>334</v>
      </c>
      <c r="N803" s="521" t="s">
        <v>334</v>
      </c>
      <c r="O803" s="521" t="s">
        <v>334</v>
      </c>
      <c r="P803" s="521">
        <v>0</v>
      </c>
      <c r="Q803" s="521">
        <v>0</v>
      </c>
      <c r="R803" s="521">
        <v>0</v>
      </c>
      <c r="S803" s="521">
        <v>0</v>
      </c>
      <c r="T803" s="521">
        <f t="shared" si="173"/>
        <v>4560</v>
      </c>
      <c r="U803" s="521">
        <v>0</v>
      </c>
      <c r="V803" s="521">
        <v>0</v>
      </c>
      <c r="W803" s="521">
        <v>0</v>
      </c>
      <c r="X803" s="521">
        <f t="shared" si="169"/>
        <v>4560</v>
      </c>
      <c r="Y803" s="508"/>
    </row>
    <row r="804" spans="1:25" ht="135">
      <c r="A804" s="515" t="s">
        <v>1276</v>
      </c>
      <c r="B804" s="516" t="s">
        <v>1277</v>
      </c>
      <c r="C804" s="548" t="s">
        <v>1256</v>
      </c>
      <c r="D804" s="516" t="s">
        <v>1278</v>
      </c>
      <c r="E804" s="517">
        <v>243125</v>
      </c>
      <c r="F804" s="518" t="s">
        <v>1279</v>
      </c>
      <c r="G804" s="547" t="s">
        <v>334</v>
      </c>
      <c r="H804" s="538" t="s">
        <v>334</v>
      </c>
      <c r="I804" s="520" t="s">
        <v>334</v>
      </c>
      <c r="J804" s="507" t="s">
        <v>334</v>
      </c>
      <c r="K804" s="507">
        <v>2304</v>
      </c>
      <c r="L804" s="521">
        <f>2304/12</f>
        <v>192</v>
      </c>
      <c r="M804" s="521">
        <v>192</v>
      </c>
      <c r="N804" s="521">
        <v>192</v>
      </c>
      <c r="O804" s="521">
        <v>192</v>
      </c>
      <c r="P804" s="521">
        <v>192</v>
      </c>
      <c r="Q804" s="521">
        <v>192</v>
      </c>
      <c r="R804" s="521">
        <v>192</v>
      </c>
      <c r="S804" s="521">
        <v>192</v>
      </c>
      <c r="T804" s="521">
        <f>(192/30)*11</f>
        <v>70.400000000000006</v>
      </c>
      <c r="U804" s="521" t="s">
        <v>334</v>
      </c>
      <c r="V804" s="521" t="s">
        <v>334</v>
      </c>
      <c r="W804" s="521" t="s">
        <v>334</v>
      </c>
      <c r="X804" s="521">
        <f t="shared" si="169"/>
        <v>1606.4</v>
      </c>
      <c r="Y804" s="508"/>
    </row>
    <row r="805" spans="1:25" ht="135">
      <c r="A805" s="515" t="s">
        <v>1280</v>
      </c>
      <c r="B805" s="516" t="s">
        <v>1277</v>
      </c>
      <c r="C805" s="548" t="s">
        <v>1256</v>
      </c>
      <c r="D805" s="516" t="s">
        <v>1278</v>
      </c>
      <c r="E805" s="538">
        <v>243125</v>
      </c>
      <c r="F805" s="544" t="s">
        <v>1279</v>
      </c>
      <c r="G805" s="546" t="s">
        <v>1281</v>
      </c>
      <c r="H805" s="538" t="s">
        <v>334</v>
      </c>
      <c r="I805" s="520" t="s">
        <v>334</v>
      </c>
      <c r="J805" s="507" t="s">
        <v>334</v>
      </c>
      <c r="K805" s="507">
        <f>K804*1.1</f>
        <v>2534.4</v>
      </c>
      <c r="L805" s="521" t="s">
        <v>334</v>
      </c>
      <c r="M805" s="521" t="s">
        <v>334</v>
      </c>
      <c r="N805" s="521" t="s">
        <v>334</v>
      </c>
      <c r="O805" s="521" t="s">
        <v>334</v>
      </c>
      <c r="P805" s="521" t="s">
        <v>334</v>
      </c>
      <c r="Q805" s="521" t="s">
        <v>334</v>
      </c>
      <c r="R805" s="521" t="s">
        <v>334</v>
      </c>
      <c r="S805" s="521" t="s">
        <v>334</v>
      </c>
      <c r="T805" s="521">
        <f>((S804*1.1)/30)*19</f>
        <v>133.76000000000002</v>
      </c>
      <c r="U805" s="521">
        <f>S804*1.1</f>
        <v>211.20000000000002</v>
      </c>
      <c r="V805" s="521">
        <v>211.2</v>
      </c>
      <c r="W805" s="521">
        <v>211.2</v>
      </c>
      <c r="X805" s="521">
        <f t="shared" si="169"/>
        <v>767.36000000000013</v>
      </c>
      <c r="Y805" s="508"/>
    </row>
    <row r="806" spans="1:25">
      <c r="A806" s="515" t="s">
        <v>1282</v>
      </c>
      <c r="B806" s="516"/>
      <c r="C806" s="516"/>
      <c r="D806" s="516"/>
      <c r="E806" s="538"/>
      <c r="F806" s="515"/>
      <c r="G806" s="546"/>
      <c r="H806" s="538"/>
      <c r="I806" s="520"/>
      <c r="J806" s="507"/>
      <c r="K806" s="507">
        <f t="shared" ref="K806:K837" si="174">H806*J806</f>
        <v>0</v>
      </c>
      <c r="L806" s="521"/>
      <c r="M806" s="521"/>
      <c r="N806" s="521"/>
      <c r="O806" s="521"/>
      <c r="P806" s="521"/>
      <c r="Q806" s="521"/>
      <c r="R806" s="521"/>
      <c r="S806" s="521"/>
      <c r="T806" s="521"/>
      <c r="U806" s="521"/>
      <c r="V806" s="521"/>
      <c r="W806" s="521"/>
      <c r="X806" s="521">
        <f t="shared" si="169"/>
        <v>0</v>
      </c>
      <c r="Y806" s="508"/>
    </row>
    <row r="807" spans="1:25">
      <c r="A807" s="501" t="s">
        <v>1283</v>
      </c>
      <c r="B807" s="502"/>
      <c r="C807" s="502"/>
      <c r="D807" s="502"/>
      <c r="E807" s="549"/>
      <c r="F807" s="501"/>
      <c r="G807" s="550"/>
      <c r="H807" s="549"/>
      <c r="I807" s="506"/>
      <c r="J807" s="507"/>
      <c r="K807" s="507">
        <f t="shared" si="174"/>
        <v>0</v>
      </c>
      <c r="L807" s="507"/>
      <c r="M807" s="507"/>
      <c r="N807" s="507"/>
      <c r="O807" s="507"/>
      <c r="P807" s="507"/>
      <c r="Q807" s="507"/>
      <c r="R807" s="507"/>
      <c r="S807" s="507"/>
      <c r="T807" s="507"/>
      <c r="U807" s="507"/>
      <c r="V807" s="507"/>
      <c r="W807" s="507"/>
      <c r="X807" s="507">
        <f>L807+M807+N807+O807+P807+Q807+R807+S807+T807+U807+V807+W807</f>
        <v>0</v>
      </c>
      <c r="Y807" s="508"/>
    </row>
    <row r="808" spans="1:25">
      <c r="A808" s="501" t="s">
        <v>1284</v>
      </c>
      <c r="B808" s="502"/>
      <c r="C808" s="502"/>
      <c r="D808" s="502"/>
      <c r="E808" s="549"/>
      <c r="F808" s="501"/>
      <c r="G808" s="550"/>
      <c r="H808" s="549"/>
      <c r="I808" s="506"/>
      <c r="J808" s="507"/>
      <c r="K808" s="507">
        <f t="shared" si="174"/>
        <v>0</v>
      </c>
      <c r="L808" s="507">
        <f t="shared" ref="L808:X808" si="175">SUM(L809:L825)</f>
        <v>0</v>
      </c>
      <c r="M808" s="507">
        <f t="shared" si="175"/>
        <v>0</v>
      </c>
      <c r="N808" s="507">
        <f t="shared" si="175"/>
        <v>0</v>
      </c>
      <c r="O808" s="507">
        <f t="shared" si="175"/>
        <v>0</v>
      </c>
      <c r="P808" s="507">
        <f t="shared" si="175"/>
        <v>0</v>
      </c>
      <c r="Q808" s="507">
        <f t="shared" si="175"/>
        <v>0</v>
      </c>
      <c r="R808" s="507">
        <f t="shared" si="175"/>
        <v>0</v>
      </c>
      <c r="S808" s="507">
        <f t="shared" si="175"/>
        <v>0</v>
      </c>
      <c r="T808" s="507">
        <f t="shared" si="175"/>
        <v>0</v>
      </c>
      <c r="U808" s="507">
        <f t="shared" si="175"/>
        <v>0</v>
      </c>
      <c r="V808" s="507">
        <f t="shared" si="175"/>
        <v>0</v>
      </c>
      <c r="W808" s="507">
        <f t="shared" si="175"/>
        <v>0</v>
      </c>
      <c r="X808" s="507">
        <f t="shared" si="175"/>
        <v>0</v>
      </c>
      <c r="Y808" s="508"/>
    </row>
    <row r="809" spans="1:25">
      <c r="A809" s="509" t="s">
        <v>1285</v>
      </c>
      <c r="B809" s="510"/>
      <c r="C809" s="510"/>
      <c r="D809" s="510"/>
      <c r="E809" s="551"/>
      <c r="F809" s="509"/>
      <c r="G809" s="552"/>
      <c r="H809" s="551"/>
      <c r="I809" s="514"/>
      <c r="J809" s="507"/>
      <c r="K809" s="507">
        <f t="shared" si="174"/>
        <v>0</v>
      </c>
      <c r="L809" s="497"/>
      <c r="M809" s="497"/>
      <c r="N809" s="497"/>
      <c r="O809" s="497"/>
      <c r="P809" s="497"/>
      <c r="Q809" s="497"/>
      <c r="R809" s="497"/>
      <c r="S809" s="497"/>
      <c r="T809" s="497"/>
      <c r="U809" s="497"/>
      <c r="V809" s="497"/>
      <c r="W809" s="497"/>
      <c r="X809" s="497">
        <f t="shared" ref="X809:X825" si="176">SUM(L809:W809)</f>
        <v>0</v>
      </c>
      <c r="Y809" s="508"/>
    </row>
    <row r="810" spans="1:25">
      <c r="A810" s="509" t="s">
        <v>1286</v>
      </c>
      <c r="B810" s="510"/>
      <c r="C810" s="510"/>
      <c r="D810" s="510"/>
      <c r="E810" s="551"/>
      <c r="F810" s="509"/>
      <c r="G810" s="552"/>
      <c r="H810" s="551"/>
      <c r="I810" s="514"/>
      <c r="J810" s="507"/>
      <c r="K810" s="507">
        <f t="shared" si="174"/>
        <v>0</v>
      </c>
      <c r="L810" s="497"/>
      <c r="M810" s="497"/>
      <c r="N810" s="497"/>
      <c r="O810" s="497"/>
      <c r="P810" s="497"/>
      <c r="Q810" s="497"/>
      <c r="R810" s="497"/>
      <c r="S810" s="497"/>
      <c r="T810" s="497"/>
      <c r="U810" s="497"/>
      <c r="V810" s="497"/>
      <c r="W810" s="497"/>
      <c r="X810" s="497">
        <f t="shared" si="176"/>
        <v>0</v>
      </c>
      <c r="Y810" s="508"/>
    </row>
    <row r="811" spans="1:25">
      <c r="A811" s="509" t="s">
        <v>1287</v>
      </c>
      <c r="B811" s="510"/>
      <c r="C811" s="510"/>
      <c r="D811" s="510"/>
      <c r="E811" s="551"/>
      <c r="F811" s="509"/>
      <c r="G811" s="552"/>
      <c r="H811" s="551"/>
      <c r="I811" s="514"/>
      <c r="J811" s="507"/>
      <c r="K811" s="507">
        <f t="shared" si="174"/>
        <v>0</v>
      </c>
      <c r="L811" s="497"/>
      <c r="M811" s="497"/>
      <c r="N811" s="497"/>
      <c r="O811" s="497"/>
      <c r="P811" s="497"/>
      <c r="Q811" s="497"/>
      <c r="R811" s="497"/>
      <c r="S811" s="497"/>
      <c r="T811" s="497"/>
      <c r="U811" s="497"/>
      <c r="V811" s="497"/>
      <c r="W811" s="497"/>
      <c r="X811" s="497">
        <f t="shared" si="176"/>
        <v>0</v>
      </c>
      <c r="Y811" s="508"/>
    </row>
    <row r="812" spans="1:25">
      <c r="A812" s="509" t="s">
        <v>1288</v>
      </c>
      <c r="B812" s="510"/>
      <c r="C812" s="510"/>
      <c r="D812" s="510"/>
      <c r="E812" s="551"/>
      <c r="F812" s="509"/>
      <c r="G812" s="552"/>
      <c r="H812" s="551"/>
      <c r="I812" s="514"/>
      <c r="J812" s="507"/>
      <c r="K812" s="507">
        <f t="shared" si="174"/>
        <v>0</v>
      </c>
      <c r="L812" s="497"/>
      <c r="M812" s="497"/>
      <c r="N812" s="497"/>
      <c r="O812" s="497"/>
      <c r="P812" s="497"/>
      <c r="Q812" s="497"/>
      <c r="R812" s="497"/>
      <c r="S812" s="497"/>
      <c r="T812" s="497"/>
      <c r="U812" s="497"/>
      <c r="V812" s="497"/>
      <c r="W812" s="497"/>
      <c r="X812" s="497">
        <f t="shared" si="176"/>
        <v>0</v>
      </c>
      <c r="Y812" s="508"/>
    </row>
    <row r="813" spans="1:25">
      <c r="A813" s="509" t="s">
        <v>1289</v>
      </c>
      <c r="B813" s="510"/>
      <c r="C813" s="510"/>
      <c r="D813" s="510"/>
      <c r="E813" s="551"/>
      <c r="F813" s="509"/>
      <c r="G813" s="552"/>
      <c r="H813" s="551"/>
      <c r="I813" s="514"/>
      <c r="J813" s="507"/>
      <c r="K813" s="507">
        <f t="shared" si="174"/>
        <v>0</v>
      </c>
      <c r="L813" s="497"/>
      <c r="M813" s="497"/>
      <c r="N813" s="497"/>
      <c r="O813" s="497"/>
      <c r="P813" s="497"/>
      <c r="Q813" s="497"/>
      <c r="R813" s="497"/>
      <c r="S813" s="497"/>
      <c r="T813" s="497"/>
      <c r="U813" s="497"/>
      <c r="V813" s="497"/>
      <c r="W813" s="497"/>
      <c r="X813" s="497">
        <f t="shared" si="176"/>
        <v>0</v>
      </c>
      <c r="Y813" s="508"/>
    </row>
    <row r="814" spans="1:25">
      <c r="A814" s="509" t="s">
        <v>1290</v>
      </c>
      <c r="B814" s="510"/>
      <c r="C814" s="510"/>
      <c r="D814" s="510"/>
      <c r="E814" s="551"/>
      <c r="F814" s="509"/>
      <c r="G814" s="552"/>
      <c r="H814" s="551"/>
      <c r="I814" s="514"/>
      <c r="J814" s="507"/>
      <c r="K814" s="507">
        <f t="shared" si="174"/>
        <v>0</v>
      </c>
      <c r="L814" s="497"/>
      <c r="M814" s="497"/>
      <c r="N814" s="497"/>
      <c r="O814" s="497"/>
      <c r="P814" s="497"/>
      <c r="Q814" s="497"/>
      <c r="R814" s="497"/>
      <c r="S814" s="497"/>
      <c r="T814" s="497"/>
      <c r="U814" s="497"/>
      <c r="V814" s="497"/>
      <c r="W814" s="497"/>
      <c r="X814" s="497">
        <f t="shared" si="176"/>
        <v>0</v>
      </c>
      <c r="Y814" s="508"/>
    </row>
    <row r="815" spans="1:25">
      <c r="A815" s="509" t="s">
        <v>1291</v>
      </c>
      <c r="B815" s="510"/>
      <c r="C815" s="510"/>
      <c r="D815" s="510"/>
      <c r="E815" s="551"/>
      <c r="F815" s="509"/>
      <c r="G815" s="552"/>
      <c r="H815" s="551"/>
      <c r="I815" s="514"/>
      <c r="J815" s="507"/>
      <c r="K815" s="507">
        <f t="shared" si="174"/>
        <v>0</v>
      </c>
      <c r="L815" s="497"/>
      <c r="M815" s="497"/>
      <c r="N815" s="497"/>
      <c r="O815" s="497"/>
      <c r="P815" s="497"/>
      <c r="Q815" s="497"/>
      <c r="R815" s="497"/>
      <c r="S815" s="497"/>
      <c r="T815" s="497"/>
      <c r="U815" s="497"/>
      <c r="V815" s="497"/>
      <c r="W815" s="497"/>
      <c r="X815" s="497">
        <f t="shared" si="176"/>
        <v>0</v>
      </c>
      <c r="Y815" s="508"/>
    </row>
    <row r="816" spans="1:25">
      <c r="A816" s="509" t="s">
        <v>1292</v>
      </c>
      <c r="B816" s="510"/>
      <c r="C816" s="510"/>
      <c r="D816" s="510"/>
      <c r="E816" s="551"/>
      <c r="F816" s="509"/>
      <c r="G816" s="552"/>
      <c r="H816" s="551"/>
      <c r="I816" s="514"/>
      <c r="J816" s="507"/>
      <c r="K816" s="507">
        <f t="shared" si="174"/>
        <v>0</v>
      </c>
      <c r="L816" s="497"/>
      <c r="M816" s="497"/>
      <c r="N816" s="497"/>
      <c r="O816" s="497"/>
      <c r="P816" s="497"/>
      <c r="Q816" s="497"/>
      <c r="R816" s="497"/>
      <c r="S816" s="497"/>
      <c r="T816" s="497"/>
      <c r="U816" s="497"/>
      <c r="V816" s="497"/>
      <c r="W816" s="497"/>
      <c r="X816" s="497">
        <f t="shared" si="176"/>
        <v>0</v>
      </c>
      <c r="Y816" s="508"/>
    </row>
    <row r="817" spans="1:25">
      <c r="A817" s="509" t="s">
        <v>1293</v>
      </c>
      <c r="B817" s="510"/>
      <c r="C817" s="510"/>
      <c r="D817" s="510"/>
      <c r="E817" s="551"/>
      <c r="F817" s="509"/>
      <c r="G817" s="552"/>
      <c r="H817" s="551"/>
      <c r="I817" s="514"/>
      <c r="J817" s="507"/>
      <c r="K817" s="507">
        <f t="shared" si="174"/>
        <v>0</v>
      </c>
      <c r="L817" s="497"/>
      <c r="M817" s="497"/>
      <c r="N817" s="497"/>
      <c r="O817" s="497"/>
      <c r="P817" s="497"/>
      <c r="Q817" s="497"/>
      <c r="R817" s="497"/>
      <c r="S817" s="497"/>
      <c r="T817" s="497"/>
      <c r="U817" s="497"/>
      <c r="V817" s="497"/>
      <c r="W817" s="497"/>
      <c r="X817" s="497">
        <f t="shared" si="176"/>
        <v>0</v>
      </c>
      <c r="Y817" s="508"/>
    </row>
    <row r="818" spans="1:25">
      <c r="A818" s="509" t="s">
        <v>1294</v>
      </c>
      <c r="B818" s="510"/>
      <c r="C818" s="510"/>
      <c r="D818" s="510"/>
      <c r="E818" s="551"/>
      <c r="F818" s="509"/>
      <c r="G818" s="552"/>
      <c r="H818" s="551"/>
      <c r="I818" s="514"/>
      <c r="J818" s="507"/>
      <c r="K818" s="507">
        <f t="shared" si="174"/>
        <v>0</v>
      </c>
      <c r="L818" s="497"/>
      <c r="M818" s="497"/>
      <c r="N818" s="497"/>
      <c r="O818" s="497"/>
      <c r="P818" s="497"/>
      <c r="Q818" s="497"/>
      <c r="R818" s="497"/>
      <c r="S818" s="497"/>
      <c r="T818" s="497"/>
      <c r="U818" s="497"/>
      <c r="V818" s="497"/>
      <c r="W818" s="497"/>
      <c r="X818" s="497">
        <f t="shared" si="176"/>
        <v>0</v>
      </c>
      <c r="Y818" s="508"/>
    </row>
    <row r="819" spans="1:25">
      <c r="A819" s="509" t="s">
        <v>1295</v>
      </c>
      <c r="B819" s="510"/>
      <c r="C819" s="510"/>
      <c r="D819" s="510"/>
      <c r="E819" s="551"/>
      <c r="F819" s="509"/>
      <c r="G819" s="552"/>
      <c r="H819" s="551"/>
      <c r="I819" s="514"/>
      <c r="J819" s="507"/>
      <c r="K819" s="507">
        <f t="shared" si="174"/>
        <v>0</v>
      </c>
      <c r="L819" s="497"/>
      <c r="M819" s="497"/>
      <c r="N819" s="497"/>
      <c r="O819" s="497"/>
      <c r="P819" s="497"/>
      <c r="Q819" s="497"/>
      <c r="R819" s="497"/>
      <c r="S819" s="497"/>
      <c r="T819" s="497"/>
      <c r="U819" s="497"/>
      <c r="V819" s="497"/>
      <c r="W819" s="497"/>
      <c r="X819" s="497">
        <f t="shared" si="176"/>
        <v>0</v>
      </c>
      <c r="Y819" s="508"/>
    </row>
    <row r="820" spans="1:25">
      <c r="A820" s="509" t="s">
        <v>1296</v>
      </c>
      <c r="B820" s="510"/>
      <c r="C820" s="510"/>
      <c r="D820" s="510"/>
      <c r="E820" s="551"/>
      <c r="F820" s="509"/>
      <c r="G820" s="552"/>
      <c r="H820" s="551"/>
      <c r="I820" s="514"/>
      <c r="J820" s="507"/>
      <c r="K820" s="507">
        <f t="shared" si="174"/>
        <v>0</v>
      </c>
      <c r="L820" s="497"/>
      <c r="M820" s="497"/>
      <c r="N820" s="497"/>
      <c r="O820" s="497"/>
      <c r="P820" s="497"/>
      <c r="Q820" s="497"/>
      <c r="R820" s="497"/>
      <c r="S820" s="497"/>
      <c r="T820" s="497"/>
      <c r="U820" s="497"/>
      <c r="V820" s="497"/>
      <c r="W820" s="497"/>
      <c r="X820" s="497">
        <f t="shared" si="176"/>
        <v>0</v>
      </c>
      <c r="Y820" s="508"/>
    </row>
    <row r="821" spans="1:25">
      <c r="A821" s="509" t="s">
        <v>1297</v>
      </c>
      <c r="B821" s="510"/>
      <c r="C821" s="510"/>
      <c r="D821" s="510"/>
      <c r="E821" s="551"/>
      <c r="F821" s="509"/>
      <c r="G821" s="552"/>
      <c r="H821" s="551"/>
      <c r="I821" s="514"/>
      <c r="J821" s="507"/>
      <c r="K821" s="507">
        <f t="shared" si="174"/>
        <v>0</v>
      </c>
      <c r="L821" s="497"/>
      <c r="M821" s="497"/>
      <c r="N821" s="497"/>
      <c r="O821" s="497"/>
      <c r="P821" s="497"/>
      <c r="Q821" s="497"/>
      <c r="R821" s="497"/>
      <c r="S821" s="497"/>
      <c r="T821" s="497"/>
      <c r="U821" s="497"/>
      <c r="V821" s="497"/>
      <c r="W821" s="497"/>
      <c r="X821" s="497">
        <f t="shared" si="176"/>
        <v>0</v>
      </c>
      <c r="Y821" s="508"/>
    </row>
    <row r="822" spans="1:25">
      <c r="A822" s="509" t="s">
        <v>1298</v>
      </c>
      <c r="B822" s="510"/>
      <c r="C822" s="510"/>
      <c r="D822" s="510"/>
      <c r="E822" s="551"/>
      <c r="F822" s="509"/>
      <c r="G822" s="552"/>
      <c r="H822" s="551"/>
      <c r="I822" s="514"/>
      <c r="J822" s="507"/>
      <c r="K822" s="507">
        <f t="shared" si="174"/>
        <v>0</v>
      </c>
      <c r="L822" s="497"/>
      <c r="M822" s="497"/>
      <c r="N822" s="497"/>
      <c r="O822" s="497"/>
      <c r="P822" s="497"/>
      <c r="Q822" s="497"/>
      <c r="R822" s="497"/>
      <c r="S822" s="497"/>
      <c r="T822" s="497"/>
      <c r="U822" s="497"/>
      <c r="V822" s="497"/>
      <c r="W822" s="497"/>
      <c r="X822" s="497">
        <f t="shared" si="176"/>
        <v>0</v>
      </c>
      <c r="Y822" s="508"/>
    </row>
    <row r="823" spans="1:25">
      <c r="A823" s="509" t="s">
        <v>1299</v>
      </c>
      <c r="B823" s="510"/>
      <c r="C823" s="510"/>
      <c r="D823" s="510"/>
      <c r="E823" s="551"/>
      <c r="F823" s="509"/>
      <c r="G823" s="552"/>
      <c r="H823" s="551"/>
      <c r="I823" s="514"/>
      <c r="J823" s="507"/>
      <c r="K823" s="507">
        <f t="shared" si="174"/>
        <v>0</v>
      </c>
      <c r="L823" s="497"/>
      <c r="M823" s="497"/>
      <c r="N823" s="497"/>
      <c r="O823" s="497"/>
      <c r="P823" s="497"/>
      <c r="Q823" s="497"/>
      <c r="R823" s="497"/>
      <c r="S823" s="497"/>
      <c r="T823" s="497"/>
      <c r="U823" s="497"/>
      <c r="V823" s="497"/>
      <c r="W823" s="497"/>
      <c r="X823" s="497">
        <f t="shared" si="176"/>
        <v>0</v>
      </c>
      <c r="Y823" s="508"/>
    </row>
    <row r="824" spans="1:25">
      <c r="A824" s="509" t="s">
        <v>1300</v>
      </c>
      <c r="B824" s="510"/>
      <c r="C824" s="510"/>
      <c r="D824" s="510"/>
      <c r="E824" s="551"/>
      <c r="F824" s="509"/>
      <c r="G824" s="552"/>
      <c r="H824" s="551"/>
      <c r="I824" s="514"/>
      <c r="J824" s="507"/>
      <c r="K824" s="507">
        <f t="shared" si="174"/>
        <v>0</v>
      </c>
      <c r="L824" s="497"/>
      <c r="M824" s="497"/>
      <c r="N824" s="497"/>
      <c r="O824" s="497"/>
      <c r="P824" s="497"/>
      <c r="Q824" s="497"/>
      <c r="R824" s="497"/>
      <c r="S824" s="497"/>
      <c r="T824" s="497"/>
      <c r="U824" s="497"/>
      <c r="V824" s="497"/>
      <c r="W824" s="497"/>
      <c r="X824" s="497">
        <f t="shared" si="176"/>
        <v>0</v>
      </c>
      <c r="Y824" s="508"/>
    </row>
    <row r="825" spans="1:25">
      <c r="A825" s="509" t="s">
        <v>1301</v>
      </c>
      <c r="B825" s="510"/>
      <c r="C825" s="510"/>
      <c r="D825" s="510"/>
      <c r="E825" s="551"/>
      <c r="F825" s="509"/>
      <c r="G825" s="552"/>
      <c r="H825" s="551"/>
      <c r="I825" s="514"/>
      <c r="J825" s="507"/>
      <c r="K825" s="507">
        <f t="shared" si="174"/>
        <v>0</v>
      </c>
      <c r="L825" s="497"/>
      <c r="M825" s="497"/>
      <c r="N825" s="497"/>
      <c r="O825" s="497"/>
      <c r="P825" s="497"/>
      <c r="Q825" s="497"/>
      <c r="R825" s="497"/>
      <c r="S825" s="497"/>
      <c r="T825" s="497"/>
      <c r="U825" s="497"/>
      <c r="V825" s="497"/>
      <c r="W825" s="497"/>
      <c r="X825" s="497">
        <f t="shared" si="176"/>
        <v>0</v>
      </c>
      <c r="Y825" s="508"/>
    </row>
    <row r="826" spans="1:25">
      <c r="A826" s="501" t="s">
        <v>1302</v>
      </c>
      <c r="B826" s="502"/>
      <c r="C826" s="502"/>
      <c r="D826" s="502"/>
      <c r="E826" s="549"/>
      <c r="F826" s="501"/>
      <c r="G826" s="550"/>
      <c r="H826" s="549"/>
      <c r="I826" s="506"/>
      <c r="J826" s="507"/>
      <c r="K826" s="507">
        <f t="shared" si="174"/>
        <v>0</v>
      </c>
      <c r="L826" s="507">
        <f t="shared" ref="L826:X826" si="177">L827+L831+L837</f>
        <v>0</v>
      </c>
      <c r="M826" s="507">
        <f t="shared" si="177"/>
        <v>0</v>
      </c>
      <c r="N826" s="507">
        <f t="shared" si="177"/>
        <v>0</v>
      </c>
      <c r="O826" s="507">
        <f t="shared" si="177"/>
        <v>0</v>
      </c>
      <c r="P826" s="507">
        <f t="shared" si="177"/>
        <v>0</v>
      </c>
      <c r="Q826" s="507">
        <f t="shared" si="177"/>
        <v>0</v>
      </c>
      <c r="R826" s="507">
        <f t="shared" si="177"/>
        <v>0</v>
      </c>
      <c r="S826" s="507">
        <f t="shared" si="177"/>
        <v>0</v>
      </c>
      <c r="T826" s="507">
        <f t="shared" si="177"/>
        <v>0</v>
      </c>
      <c r="U826" s="507">
        <f t="shared" si="177"/>
        <v>0</v>
      </c>
      <c r="V826" s="507">
        <f t="shared" si="177"/>
        <v>0</v>
      </c>
      <c r="W826" s="507">
        <f t="shared" si="177"/>
        <v>0</v>
      </c>
      <c r="X826" s="507">
        <f t="shared" si="177"/>
        <v>0</v>
      </c>
      <c r="Y826" s="508"/>
    </row>
    <row r="827" spans="1:25">
      <c r="A827" s="509" t="s">
        <v>1303</v>
      </c>
      <c r="B827" s="510"/>
      <c r="C827" s="510"/>
      <c r="D827" s="510"/>
      <c r="E827" s="551"/>
      <c r="F827" s="509"/>
      <c r="G827" s="552"/>
      <c r="H827" s="551"/>
      <c r="I827" s="514"/>
      <c r="J827" s="507"/>
      <c r="K827" s="507">
        <f t="shared" si="174"/>
        <v>0</v>
      </c>
      <c r="L827" s="497">
        <f t="shared" ref="L827:X827" si="178">SUM(L828:L830)</f>
        <v>0</v>
      </c>
      <c r="M827" s="497">
        <f t="shared" si="178"/>
        <v>0</v>
      </c>
      <c r="N827" s="497">
        <f t="shared" si="178"/>
        <v>0</v>
      </c>
      <c r="O827" s="497">
        <f t="shared" si="178"/>
        <v>0</v>
      </c>
      <c r="P827" s="497">
        <f t="shared" si="178"/>
        <v>0</v>
      </c>
      <c r="Q827" s="497">
        <f t="shared" si="178"/>
        <v>0</v>
      </c>
      <c r="R827" s="497">
        <f t="shared" si="178"/>
        <v>0</v>
      </c>
      <c r="S827" s="497">
        <f t="shared" si="178"/>
        <v>0</v>
      </c>
      <c r="T827" s="497">
        <f t="shared" si="178"/>
        <v>0</v>
      </c>
      <c r="U827" s="497">
        <f t="shared" si="178"/>
        <v>0</v>
      </c>
      <c r="V827" s="497">
        <f t="shared" si="178"/>
        <v>0</v>
      </c>
      <c r="W827" s="497">
        <f t="shared" si="178"/>
        <v>0</v>
      </c>
      <c r="X827" s="497">
        <f t="shared" si="178"/>
        <v>0</v>
      </c>
      <c r="Y827" s="508"/>
    </row>
    <row r="828" spans="1:25">
      <c r="A828" s="515" t="s">
        <v>1062</v>
      </c>
      <c r="B828" s="516"/>
      <c r="C828" s="516"/>
      <c r="D828" s="516"/>
      <c r="E828" s="538"/>
      <c r="F828" s="515"/>
      <c r="G828" s="546"/>
      <c r="H828" s="538"/>
      <c r="I828" s="520"/>
      <c r="J828" s="507"/>
      <c r="K828" s="507">
        <f t="shared" si="174"/>
        <v>0</v>
      </c>
      <c r="L828" s="521"/>
      <c r="M828" s="521"/>
      <c r="N828" s="521"/>
      <c r="O828" s="521"/>
      <c r="P828" s="521"/>
      <c r="Q828" s="521"/>
      <c r="R828" s="521"/>
      <c r="S828" s="521"/>
      <c r="T828" s="521"/>
      <c r="U828" s="521"/>
      <c r="V828" s="521"/>
      <c r="W828" s="521"/>
      <c r="X828" s="521">
        <f t="shared" ref="X828:X836" si="179">SUM(L828:W828)</f>
        <v>0</v>
      </c>
      <c r="Y828" s="508"/>
    </row>
    <row r="829" spans="1:25">
      <c r="A829" s="515" t="s">
        <v>1304</v>
      </c>
      <c r="B829" s="516"/>
      <c r="C829" s="516"/>
      <c r="D829" s="516"/>
      <c r="E829" s="538"/>
      <c r="F829" s="515"/>
      <c r="G829" s="546"/>
      <c r="H829" s="538"/>
      <c r="I829" s="520"/>
      <c r="J829" s="507"/>
      <c r="K829" s="507">
        <f t="shared" si="174"/>
        <v>0</v>
      </c>
      <c r="L829" s="521"/>
      <c r="M829" s="521"/>
      <c r="N829" s="521"/>
      <c r="O829" s="521"/>
      <c r="P829" s="521"/>
      <c r="Q829" s="521"/>
      <c r="R829" s="521"/>
      <c r="S829" s="521"/>
      <c r="T829" s="521"/>
      <c r="U829" s="521"/>
      <c r="V829" s="521"/>
      <c r="W829" s="521"/>
      <c r="X829" s="521">
        <f t="shared" si="179"/>
        <v>0</v>
      </c>
      <c r="Y829" s="508"/>
    </row>
    <row r="830" spans="1:25">
      <c r="A830" s="515" t="s">
        <v>1305</v>
      </c>
      <c r="B830" s="516"/>
      <c r="C830" s="516"/>
      <c r="D830" s="516"/>
      <c r="E830" s="538"/>
      <c r="F830" s="515"/>
      <c r="G830" s="546"/>
      <c r="H830" s="538"/>
      <c r="I830" s="520"/>
      <c r="J830" s="507"/>
      <c r="K830" s="507">
        <f t="shared" si="174"/>
        <v>0</v>
      </c>
      <c r="L830" s="521"/>
      <c r="M830" s="521"/>
      <c r="N830" s="521"/>
      <c r="O830" s="521"/>
      <c r="P830" s="521"/>
      <c r="Q830" s="521"/>
      <c r="R830" s="521"/>
      <c r="S830" s="521"/>
      <c r="T830" s="521"/>
      <c r="U830" s="521"/>
      <c r="V830" s="521"/>
      <c r="W830" s="521"/>
      <c r="X830" s="521">
        <f t="shared" si="179"/>
        <v>0</v>
      </c>
      <c r="Y830" s="508"/>
    </row>
    <row r="831" spans="1:25">
      <c r="A831" s="509" t="s">
        <v>943</v>
      </c>
      <c r="B831" s="510"/>
      <c r="C831" s="510"/>
      <c r="D831" s="510"/>
      <c r="E831" s="551"/>
      <c r="F831" s="509"/>
      <c r="G831" s="552"/>
      <c r="H831" s="551"/>
      <c r="I831" s="514"/>
      <c r="J831" s="507"/>
      <c r="K831" s="507">
        <f t="shared" si="174"/>
        <v>0</v>
      </c>
      <c r="L831" s="497">
        <f t="shared" ref="L831:W831" si="180">SUM(L832:L836)</f>
        <v>0</v>
      </c>
      <c r="M831" s="497">
        <f t="shared" si="180"/>
        <v>0</v>
      </c>
      <c r="N831" s="497">
        <f t="shared" si="180"/>
        <v>0</v>
      </c>
      <c r="O831" s="497">
        <f t="shared" si="180"/>
        <v>0</v>
      </c>
      <c r="P831" s="497">
        <f t="shared" si="180"/>
        <v>0</v>
      </c>
      <c r="Q831" s="497">
        <f t="shared" si="180"/>
        <v>0</v>
      </c>
      <c r="R831" s="497">
        <f t="shared" si="180"/>
        <v>0</v>
      </c>
      <c r="S831" s="497">
        <f t="shared" si="180"/>
        <v>0</v>
      </c>
      <c r="T831" s="497">
        <f t="shared" si="180"/>
        <v>0</v>
      </c>
      <c r="U831" s="497">
        <f t="shared" si="180"/>
        <v>0</v>
      </c>
      <c r="V831" s="497">
        <f t="shared" si="180"/>
        <v>0</v>
      </c>
      <c r="W831" s="497">
        <f t="shared" si="180"/>
        <v>0</v>
      </c>
      <c r="X831" s="497">
        <f t="shared" si="179"/>
        <v>0</v>
      </c>
      <c r="Y831" s="508"/>
    </row>
    <row r="832" spans="1:25">
      <c r="A832" s="515" t="s">
        <v>1306</v>
      </c>
      <c r="B832" s="516"/>
      <c r="C832" s="516"/>
      <c r="D832" s="516"/>
      <c r="E832" s="538"/>
      <c r="F832" s="515"/>
      <c r="G832" s="546"/>
      <c r="H832" s="538"/>
      <c r="I832" s="520"/>
      <c r="J832" s="507"/>
      <c r="K832" s="507">
        <f t="shared" si="174"/>
        <v>0</v>
      </c>
      <c r="L832" s="521"/>
      <c r="M832" s="521"/>
      <c r="N832" s="521"/>
      <c r="O832" s="521"/>
      <c r="P832" s="521"/>
      <c r="Q832" s="521"/>
      <c r="R832" s="521"/>
      <c r="S832" s="521"/>
      <c r="T832" s="521"/>
      <c r="U832" s="521"/>
      <c r="V832" s="521"/>
      <c r="W832" s="521"/>
      <c r="X832" s="521">
        <f t="shared" si="179"/>
        <v>0</v>
      </c>
      <c r="Y832" s="508"/>
    </row>
    <row r="833" spans="1:25">
      <c r="A833" s="515" t="s">
        <v>1307</v>
      </c>
      <c r="B833" s="516"/>
      <c r="C833" s="516"/>
      <c r="D833" s="516"/>
      <c r="E833" s="538"/>
      <c r="F833" s="515"/>
      <c r="G833" s="546"/>
      <c r="H833" s="538"/>
      <c r="I833" s="520"/>
      <c r="J833" s="507"/>
      <c r="K833" s="507">
        <f t="shared" si="174"/>
        <v>0</v>
      </c>
      <c r="L833" s="521"/>
      <c r="M833" s="521"/>
      <c r="N833" s="521"/>
      <c r="O833" s="521"/>
      <c r="P833" s="521"/>
      <c r="Q833" s="521"/>
      <c r="R833" s="521"/>
      <c r="S833" s="521"/>
      <c r="T833" s="521"/>
      <c r="U833" s="521"/>
      <c r="V833" s="521"/>
      <c r="W833" s="521"/>
      <c r="X833" s="521">
        <f t="shared" si="179"/>
        <v>0</v>
      </c>
      <c r="Y833" s="508"/>
    </row>
    <row r="834" spans="1:25">
      <c r="A834" s="515" t="s">
        <v>944</v>
      </c>
      <c r="B834" s="516"/>
      <c r="C834" s="516"/>
      <c r="D834" s="516"/>
      <c r="E834" s="538"/>
      <c r="F834" s="515"/>
      <c r="G834" s="546"/>
      <c r="H834" s="538"/>
      <c r="I834" s="520"/>
      <c r="J834" s="507"/>
      <c r="K834" s="507">
        <f t="shared" si="174"/>
        <v>0</v>
      </c>
      <c r="L834" s="521"/>
      <c r="M834" s="521"/>
      <c r="N834" s="521"/>
      <c r="O834" s="521"/>
      <c r="P834" s="521"/>
      <c r="Q834" s="521"/>
      <c r="R834" s="521"/>
      <c r="S834" s="521"/>
      <c r="T834" s="521"/>
      <c r="U834" s="521"/>
      <c r="V834" s="521"/>
      <c r="W834" s="521"/>
      <c r="X834" s="521">
        <f t="shared" si="179"/>
        <v>0</v>
      </c>
      <c r="Y834" s="508"/>
    </row>
    <row r="835" spans="1:25">
      <c r="A835" s="515" t="s">
        <v>950</v>
      </c>
      <c r="B835" s="516"/>
      <c r="C835" s="516"/>
      <c r="D835" s="516"/>
      <c r="E835" s="538"/>
      <c r="F835" s="515"/>
      <c r="G835" s="546"/>
      <c r="H835" s="538"/>
      <c r="I835" s="520"/>
      <c r="J835" s="507"/>
      <c r="K835" s="507">
        <f t="shared" si="174"/>
        <v>0</v>
      </c>
      <c r="L835" s="521"/>
      <c r="M835" s="521"/>
      <c r="N835" s="521"/>
      <c r="O835" s="521"/>
      <c r="P835" s="521"/>
      <c r="Q835" s="521"/>
      <c r="R835" s="521"/>
      <c r="S835" s="521"/>
      <c r="T835" s="521"/>
      <c r="U835" s="521"/>
      <c r="V835" s="521"/>
      <c r="W835" s="521"/>
      <c r="X835" s="521">
        <f t="shared" si="179"/>
        <v>0</v>
      </c>
      <c r="Y835" s="508"/>
    </row>
    <row r="836" spans="1:25">
      <c r="A836" s="515" t="s">
        <v>949</v>
      </c>
      <c r="B836" s="516"/>
      <c r="C836" s="516"/>
      <c r="D836" s="516"/>
      <c r="E836" s="538"/>
      <c r="F836" s="515"/>
      <c r="G836" s="546"/>
      <c r="H836" s="538"/>
      <c r="I836" s="520"/>
      <c r="J836" s="507"/>
      <c r="K836" s="507">
        <f t="shared" si="174"/>
        <v>0</v>
      </c>
      <c r="L836" s="521"/>
      <c r="M836" s="521"/>
      <c r="N836" s="521"/>
      <c r="O836" s="521"/>
      <c r="P836" s="521"/>
      <c r="Q836" s="521"/>
      <c r="R836" s="521"/>
      <c r="S836" s="521"/>
      <c r="T836" s="521"/>
      <c r="U836" s="521"/>
      <c r="V836" s="521"/>
      <c r="W836" s="521"/>
      <c r="X836" s="521">
        <f t="shared" si="179"/>
        <v>0</v>
      </c>
      <c r="Y836" s="508"/>
    </row>
    <row r="837" spans="1:25">
      <c r="A837" s="509" t="s">
        <v>951</v>
      </c>
      <c r="B837" s="510"/>
      <c r="C837" s="510"/>
      <c r="D837" s="510"/>
      <c r="E837" s="551"/>
      <c r="F837" s="509"/>
      <c r="G837" s="552"/>
      <c r="H837" s="551"/>
      <c r="I837" s="514"/>
      <c r="J837" s="507"/>
      <c r="K837" s="507">
        <f t="shared" si="174"/>
        <v>0</v>
      </c>
      <c r="L837" s="497">
        <f t="shared" ref="L837:X837" si="181">SUM(L838:L844)</f>
        <v>0</v>
      </c>
      <c r="M837" s="497">
        <f t="shared" si="181"/>
        <v>0</v>
      </c>
      <c r="N837" s="497">
        <f t="shared" si="181"/>
        <v>0</v>
      </c>
      <c r="O837" s="497">
        <f t="shared" si="181"/>
        <v>0</v>
      </c>
      <c r="P837" s="497">
        <f t="shared" si="181"/>
        <v>0</v>
      </c>
      <c r="Q837" s="497">
        <f t="shared" si="181"/>
        <v>0</v>
      </c>
      <c r="R837" s="497">
        <f t="shared" si="181"/>
        <v>0</v>
      </c>
      <c r="S837" s="497">
        <f t="shared" si="181"/>
        <v>0</v>
      </c>
      <c r="T837" s="497">
        <f t="shared" si="181"/>
        <v>0</v>
      </c>
      <c r="U837" s="497">
        <f t="shared" si="181"/>
        <v>0</v>
      </c>
      <c r="V837" s="497">
        <f t="shared" si="181"/>
        <v>0</v>
      </c>
      <c r="W837" s="497">
        <f t="shared" si="181"/>
        <v>0</v>
      </c>
      <c r="X837" s="497">
        <f t="shared" si="181"/>
        <v>0</v>
      </c>
      <c r="Y837" s="508"/>
    </row>
    <row r="838" spans="1:25">
      <c r="A838" s="515" t="s">
        <v>1063</v>
      </c>
      <c r="B838" s="516"/>
      <c r="C838" s="516"/>
      <c r="D838" s="516"/>
      <c r="E838" s="538"/>
      <c r="F838" s="515"/>
      <c r="G838" s="546"/>
      <c r="H838" s="538"/>
      <c r="I838" s="520"/>
      <c r="J838" s="507"/>
      <c r="K838" s="507">
        <f t="shared" ref="K838:K869" si="182">H838*J838</f>
        <v>0</v>
      </c>
      <c r="L838" s="521"/>
      <c r="M838" s="521"/>
      <c r="N838" s="521"/>
      <c r="O838" s="521"/>
      <c r="P838" s="521"/>
      <c r="Q838" s="521"/>
      <c r="R838" s="521"/>
      <c r="S838" s="521"/>
      <c r="T838" s="521"/>
      <c r="U838" s="521"/>
      <c r="V838" s="521"/>
      <c r="W838" s="521"/>
      <c r="X838" s="521">
        <f t="shared" ref="X838:X846" si="183">SUM(L838:W838)</f>
        <v>0</v>
      </c>
      <c r="Y838" s="508"/>
    </row>
    <row r="839" spans="1:25">
      <c r="A839" s="515" t="s">
        <v>1063</v>
      </c>
      <c r="B839" s="516"/>
      <c r="C839" s="516"/>
      <c r="D839" s="516"/>
      <c r="E839" s="538"/>
      <c r="F839" s="515"/>
      <c r="G839" s="546"/>
      <c r="H839" s="538"/>
      <c r="I839" s="520"/>
      <c r="J839" s="507"/>
      <c r="K839" s="507">
        <f t="shared" si="182"/>
        <v>0</v>
      </c>
      <c r="L839" s="521"/>
      <c r="M839" s="521"/>
      <c r="N839" s="521"/>
      <c r="O839" s="521"/>
      <c r="P839" s="521"/>
      <c r="Q839" s="521"/>
      <c r="R839" s="521"/>
      <c r="S839" s="521"/>
      <c r="T839" s="521"/>
      <c r="U839" s="521"/>
      <c r="V839" s="521"/>
      <c r="W839" s="521"/>
      <c r="X839" s="521">
        <f t="shared" si="183"/>
        <v>0</v>
      </c>
      <c r="Y839" s="508"/>
    </row>
    <row r="840" spans="1:25">
      <c r="A840" s="515" t="s">
        <v>1308</v>
      </c>
      <c r="B840" s="516"/>
      <c r="C840" s="516"/>
      <c r="D840" s="516"/>
      <c r="E840" s="538"/>
      <c r="F840" s="515"/>
      <c r="G840" s="546"/>
      <c r="H840" s="538"/>
      <c r="I840" s="520"/>
      <c r="J840" s="507"/>
      <c r="K840" s="507">
        <f t="shared" si="182"/>
        <v>0</v>
      </c>
      <c r="L840" s="521"/>
      <c r="M840" s="521"/>
      <c r="N840" s="521"/>
      <c r="O840" s="521"/>
      <c r="P840" s="521"/>
      <c r="Q840" s="521"/>
      <c r="R840" s="521"/>
      <c r="S840" s="521"/>
      <c r="T840" s="521"/>
      <c r="U840" s="521"/>
      <c r="V840" s="521"/>
      <c r="W840" s="521"/>
      <c r="X840" s="521">
        <f t="shared" si="183"/>
        <v>0</v>
      </c>
      <c r="Y840" s="508"/>
    </row>
    <row r="841" spans="1:25">
      <c r="A841" s="515" t="s">
        <v>1309</v>
      </c>
      <c r="B841" s="516"/>
      <c r="C841" s="516"/>
      <c r="D841" s="516"/>
      <c r="E841" s="538"/>
      <c r="F841" s="515"/>
      <c r="G841" s="546"/>
      <c r="H841" s="538"/>
      <c r="I841" s="520"/>
      <c r="J841" s="507"/>
      <c r="K841" s="507">
        <f t="shared" si="182"/>
        <v>0</v>
      </c>
      <c r="L841" s="521"/>
      <c r="M841" s="521"/>
      <c r="N841" s="521"/>
      <c r="O841" s="521"/>
      <c r="P841" s="521"/>
      <c r="Q841" s="521"/>
      <c r="R841" s="521"/>
      <c r="S841" s="521"/>
      <c r="T841" s="521"/>
      <c r="U841" s="521"/>
      <c r="V841" s="521"/>
      <c r="W841" s="521"/>
      <c r="X841" s="521">
        <f t="shared" si="183"/>
        <v>0</v>
      </c>
      <c r="Y841" s="508"/>
    </row>
    <row r="842" spans="1:25">
      <c r="A842" s="515" t="s">
        <v>952</v>
      </c>
      <c r="B842" s="516"/>
      <c r="C842" s="516"/>
      <c r="D842" s="516"/>
      <c r="E842" s="538"/>
      <c r="F842" s="515"/>
      <c r="G842" s="546"/>
      <c r="H842" s="538"/>
      <c r="I842" s="520"/>
      <c r="J842" s="507"/>
      <c r="K842" s="507">
        <f t="shared" si="182"/>
        <v>0</v>
      </c>
      <c r="L842" s="521"/>
      <c r="M842" s="521"/>
      <c r="N842" s="521"/>
      <c r="O842" s="521"/>
      <c r="P842" s="521"/>
      <c r="Q842" s="521"/>
      <c r="R842" s="521"/>
      <c r="S842" s="521"/>
      <c r="T842" s="521"/>
      <c r="U842" s="521"/>
      <c r="V842" s="521"/>
      <c r="W842" s="521"/>
      <c r="X842" s="521">
        <f t="shared" si="183"/>
        <v>0</v>
      </c>
      <c r="Y842" s="508"/>
    </row>
    <row r="843" spans="1:25">
      <c r="A843" s="515" t="s">
        <v>955</v>
      </c>
      <c r="B843" s="516"/>
      <c r="C843" s="516"/>
      <c r="D843" s="516"/>
      <c r="E843" s="538"/>
      <c r="F843" s="515"/>
      <c r="G843" s="546"/>
      <c r="H843" s="538"/>
      <c r="I843" s="520"/>
      <c r="J843" s="507"/>
      <c r="K843" s="507">
        <f t="shared" si="182"/>
        <v>0</v>
      </c>
      <c r="L843" s="521"/>
      <c r="M843" s="521"/>
      <c r="N843" s="521"/>
      <c r="O843" s="521"/>
      <c r="P843" s="521"/>
      <c r="Q843" s="521"/>
      <c r="R843" s="521"/>
      <c r="S843" s="521"/>
      <c r="T843" s="521"/>
      <c r="U843" s="521"/>
      <c r="V843" s="521"/>
      <c r="W843" s="521"/>
      <c r="X843" s="521">
        <f t="shared" si="183"/>
        <v>0</v>
      </c>
      <c r="Y843" s="508"/>
    </row>
    <row r="844" spans="1:25">
      <c r="A844" s="515" t="s">
        <v>956</v>
      </c>
      <c r="B844" s="516"/>
      <c r="C844" s="516"/>
      <c r="D844" s="516"/>
      <c r="E844" s="538"/>
      <c r="F844" s="515"/>
      <c r="G844" s="546"/>
      <c r="H844" s="538"/>
      <c r="I844" s="520"/>
      <c r="J844" s="507"/>
      <c r="K844" s="507">
        <f t="shared" si="182"/>
        <v>0</v>
      </c>
      <c r="L844" s="521"/>
      <c r="M844" s="521"/>
      <c r="N844" s="521"/>
      <c r="O844" s="521"/>
      <c r="P844" s="521"/>
      <c r="Q844" s="521"/>
      <c r="R844" s="521"/>
      <c r="S844" s="521"/>
      <c r="T844" s="521"/>
      <c r="U844" s="521"/>
      <c r="V844" s="521"/>
      <c r="W844" s="521"/>
      <c r="X844" s="521">
        <f t="shared" si="183"/>
        <v>0</v>
      </c>
      <c r="Y844" s="508"/>
    </row>
    <row r="845" spans="1:25">
      <c r="A845" s="501" t="s">
        <v>1310</v>
      </c>
      <c r="B845" s="502"/>
      <c r="C845" s="502"/>
      <c r="D845" s="502"/>
      <c r="E845" s="549"/>
      <c r="F845" s="501"/>
      <c r="G845" s="550"/>
      <c r="H845" s="549"/>
      <c r="I845" s="506"/>
      <c r="J845" s="507"/>
      <c r="K845" s="507">
        <f t="shared" si="182"/>
        <v>0</v>
      </c>
      <c r="L845" s="507">
        <v>0</v>
      </c>
      <c r="M845" s="507">
        <v>0</v>
      </c>
      <c r="N845" s="507">
        <v>0</v>
      </c>
      <c r="O845" s="507">
        <v>0</v>
      </c>
      <c r="P845" s="507">
        <v>0</v>
      </c>
      <c r="Q845" s="507">
        <v>0</v>
      </c>
      <c r="R845" s="507">
        <v>0</v>
      </c>
      <c r="S845" s="507">
        <v>0</v>
      </c>
      <c r="T845" s="507">
        <v>0</v>
      </c>
      <c r="U845" s="507">
        <v>0</v>
      </c>
      <c r="V845" s="507">
        <v>0</v>
      </c>
      <c r="W845" s="507">
        <v>0</v>
      </c>
      <c r="X845" s="507">
        <f t="shared" si="183"/>
        <v>0</v>
      </c>
      <c r="Y845" s="508"/>
    </row>
    <row r="846" spans="1:25">
      <c r="A846" s="509" t="s">
        <v>1311</v>
      </c>
      <c r="B846" s="510"/>
      <c r="C846" s="510"/>
      <c r="D846" s="510"/>
      <c r="E846" s="551"/>
      <c r="F846" s="509"/>
      <c r="G846" s="552"/>
      <c r="H846" s="551"/>
      <c r="I846" s="514"/>
      <c r="J846" s="507"/>
      <c r="K846" s="507">
        <f t="shared" si="182"/>
        <v>0</v>
      </c>
      <c r="L846" s="497">
        <v>0</v>
      </c>
      <c r="M846" s="497">
        <v>0</v>
      </c>
      <c r="N846" s="497">
        <v>0</v>
      </c>
      <c r="O846" s="497">
        <v>0</v>
      </c>
      <c r="P846" s="497">
        <v>0</v>
      </c>
      <c r="Q846" s="497">
        <v>0</v>
      </c>
      <c r="R846" s="497">
        <v>0</v>
      </c>
      <c r="S846" s="497">
        <v>0</v>
      </c>
      <c r="T846" s="497">
        <v>0</v>
      </c>
      <c r="U846" s="497">
        <v>0</v>
      </c>
      <c r="V846" s="497">
        <v>0</v>
      </c>
      <c r="W846" s="497">
        <v>0</v>
      </c>
      <c r="X846" s="497">
        <f t="shared" si="183"/>
        <v>0</v>
      </c>
      <c r="Y846" s="508"/>
    </row>
    <row r="847" spans="1:25">
      <c r="A847" s="501" t="s">
        <v>1312</v>
      </c>
      <c r="B847" s="502"/>
      <c r="C847" s="502"/>
      <c r="D847" s="502"/>
      <c r="E847" s="549"/>
      <c r="F847" s="501"/>
      <c r="G847" s="550"/>
      <c r="H847" s="549"/>
      <c r="I847" s="506"/>
      <c r="J847" s="507"/>
      <c r="K847" s="507">
        <f t="shared" si="182"/>
        <v>0</v>
      </c>
      <c r="L847" s="507">
        <f t="shared" ref="L847:X847" si="184">L848+L849</f>
        <v>10189.34</v>
      </c>
      <c r="M847" s="507">
        <f t="shared" si="184"/>
        <v>9984.34</v>
      </c>
      <c r="N847" s="507">
        <f t="shared" si="184"/>
        <v>64896.340000000011</v>
      </c>
      <c r="O847" s="507">
        <f t="shared" si="184"/>
        <v>47203.83</v>
      </c>
      <c r="P847" s="507">
        <f t="shared" si="184"/>
        <v>10246.544000000002</v>
      </c>
      <c r="Q847" s="507">
        <f t="shared" si="184"/>
        <v>11372.869000000001</v>
      </c>
      <c r="R847" s="507">
        <f t="shared" si="184"/>
        <v>11412.044000000002</v>
      </c>
      <c r="S847" s="507">
        <f t="shared" si="184"/>
        <v>10941.494000000001</v>
      </c>
      <c r="T847" s="507">
        <f t="shared" si="184"/>
        <v>11178.028</v>
      </c>
      <c r="U847" s="507">
        <f t="shared" si="184"/>
        <v>11247.028</v>
      </c>
      <c r="V847" s="507">
        <f t="shared" si="184"/>
        <v>11111.478000000001</v>
      </c>
      <c r="W847" s="507">
        <f t="shared" si="184"/>
        <v>10373.874</v>
      </c>
      <c r="X847" s="507">
        <f t="shared" si="184"/>
        <v>220157.20900000003</v>
      </c>
      <c r="Y847" s="508"/>
    </row>
    <row r="848" spans="1:25">
      <c r="A848" s="501" t="s">
        <v>1313</v>
      </c>
      <c r="B848" s="502"/>
      <c r="C848" s="502"/>
      <c r="D848" s="502"/>
      <c r="E848" s="549"/>
      <c r="F848" s="501"/>
      <c r="G848" s="550"/>
      <c r="H848" s="549"/>
      <c r="I848" s="506"/>
      <c r="J848" s="507"/>
      <c r="K848" s="507">
        <f t="shared" si="182"/>
        <v>0</v>
      </c>
      <c r="L848" s="507">
        <v>0</v>
      </c>
      <c r="M848" s="507">
        <v>0</v>
      </c>
      <c r="N848" s="507">
        <v>0</v>
      </c>
      <c r="O848" s="507">
        <v>0</v>
      </c>
      <c r="P848" s="507">
        <v>0</v>
      </c>
      <c r="Q848" s="507">
        <v>0</v>
      </c>
      <c r="R848" s="507">
        <v>0</v>
      </c>
      <c r="S848" s="507">
        <v>0</v>
      </c>
      <c r="T848" s="507">
        <v>0</v>
      </c>
      <c r="U848" s="507">
        <v>0</v>
      </c>
      <c r="V848" s="507">
        <v>0</v>
      </c>
      <c r="W848" s="507">
        <v>0</v>
      </c>
      <c r="X848" s="507">
        <f>SUM(L848:W848)</f>
        <v>0</v>
      </c>
      <c r="Y848" s="508"/>
    </row>
    <row r="849" spans="1:25">
      <c r="A849" s="501" t="s">
        <v>1314</v>
      </c>
      <c r="B849" s="502"/>
      <c r="C849" s="502"/>
      <c r="D849" s="502"/>
      <c r="E849" s="549"/>
      <c r="F849" s="501"/>
      <c r="G849" s="550"/>
      <c r="H849" s="549"/>
      <c r="I849" s="506"/>
      <c r="J849" s="507"/>
      <c r="K849" s="507">
        <f t="shared" si="182"/>
        <v>0</v>
      </c>
      <c r="L849" s="507">
        <f>L850+L858+L861+L863+L866+L873+L877+L889+L910+L924+L926+L932+L935+L959+L972+L980+L982+L993+L998+L881</f>
        <v>10189.34</v>
      </c>
      <c r="M849" s="507">
        <f t="shared" ref="M849:W849" si="185">M850+M858+M861+M863+M866+M873+M877+M889+M910+M924+M926+M932+M935+M959+M972+M980+M982+M993+M998</f>
        <v>9984.34</v>
      </c>
      <c r="N849" s="507">
        <f t="shared" si="185"/>
        <v>64896.340000000011</v>
      </c>
      <c r="O849" s="507">
        <f t="shared" si="185"/>
        <v>47203.83</v>
      </c>
      <c r="P849" s="507">
        <f t="shared" si="185"/>
        <v>10246.544000000002</v>
      </c>
      <c r="Q849" s="507">
        <f t="shared" si="185"/>
        <v>11372.869000000001</v>
      </c>
      <c r="R849" s="507">
        <f t="shared" si="185"/>
        <v>11412.044000000002</v>
      </c>
      <c r="S849" s="507">
        <f t="shared" si="185"/>
        <v>10941.494000000001</v>
      </c>
      <c r="T849" s="507">
        <f t="shared" si="185"/>
        <v>11178.028</v>
      </c>
      <c r="U849" s="507">
        <f t="shared" si="185"/>
        <v>11247.028</v>
      </c>
      <c r="V849" s="507">
        <f t="shared" si="185"/>
        <v>11111.478000000001</v>
      </c>
      <c r="W849" s="507">
        <f t="shared" si="185"/>
        <v>10373.874</v>
      </c>
      <c r="X849" s="507">
        <f>SUM(L849:W849)</f>
        <v>220157.20900000003</v>
      </c>
      <c r="Y849" s="508"/>
    </row>
    <row r="850" spans="1:25">
      <c r="A850" s="509" t="s">
        <v>957</v>
      </c>
      <c r="B850" s="510"/>
      <c r="C850" s="510"/>
      <c r="D850" s="510"/>
      <c r="E850" s="551"/>
      <c r="F850" s="509"/>
      <c r="G850" s="552"/>
      <c r="H850" s="551"/>
      <c r="I850" s="514"/>
      <c r="J850" s="507"/>
      <c r="K850" s="507">
        <f t="shared" si="182"/>
        <v>0</v>
      </c>
      <c r="L850" s="497">
        <f t="shared" ref="L850:X850" si="186">SUM(L851:L857)</f>
        <v>5000</v>
      </c>
      <c r="M850" s="497">
        <f t="shared" si="186"/>
        <v>5000</v>
      </c>
      <c r="N850" s="497">
        <f t="shared" si="186"/>
        <v>5000</v>
      </c>
      <c r="O850" s="497">
        <f t="shared" si="186"/>
        <v>5000</v>
      </c>
      <c r="P850" s="497">
        <f t="shared" si="186"/>
        <v>5000</v>
      </c>
      <c r="Q850" s="497">
        <f t="shared" si="186"/>
        <v>5000</v>
      </c>
      <c r="R850" s="497">
        <f t="shared" si="186"/>
        <v>5000</v>
      </c>
      <c r="S850" s="497">
        <f t="shared" si="186"/>
        <v>5000</v>
      </c>
      <c r="T850" s="497">
        <f t="shared" si="186"/>
        <v>5000</v>
      </c>
      <c r="U850" s="497">
        <f t="shared" si="186"/>
        <v>5000</v>
      </c>
      <c r="V850" s="497">
        <f t="shared" si="186"/>
        <v>5000</v>
      </c>
      <c r="W850" s="497">
        <f t="shared" si="186"/>
        <v>5000</v>
      </c>
      <c r="X850" s="497">
        <f t="shared" si="186"/>
        <v>60000</v>
      </c>
      <c r="Y850" s="508"/>
    </row>
    <row r="851" spans="1:25">
      <c r="A851" s="515" t="s">
        <v>1064</v>
      </c>
      <c r="B851" s="516"/>
      <c r="C851" s="516"/>
      <c r="D851" s="516"/>
      <c r="E851" s="538"/>
      <c r="F851" s="515"/>
      <c r="G851" s="546"/>
      <c r="H851" s="538"/>
      <c r="I851" s="520"/>
      <c r="J851" s="507"/>
      <c r="K851" s="507">
        <f t="shared" si="182"/>
        <v>0</v>
      </c>
      <c r="L851" s="521"/>
      <c r="M851" s="521"/>
      <c r="N851" s="521"/>
      <c r="O851" s="521"/>
      <c r="P851" s="521"/>
      <c r="Q851" s="521"/>
      <c r="R851" s="521"/>
      <c r="S851" s="521"/>
      <c r="T851" s="521"/>
      <c r="U851" s="521"/>
      <c r="V851" s="521"/>
      <c r="W851" s="521"/>
      <c r="X851" s="521">
        <f t="shared" ref="X851:X857" si="187">SUM(L851:W851)</f>
        <v>0</v>
      </c>
      <c r="Y851" s="508"/>
    </row>
    <row r="852" spans="1:25">
      <c r="A852" s="515" t="s">
        <v>1065</v>
      </c>
      <c r="B852" s="516"/>
      <c r="C852" s="516"/>
      <c r="D852" s="516"/>
      <c r="E852" s="538"/>
      <c r="F852" s="515"/>
      <c r="G852" s="546"/>
      <c r="H852" s="538"/>
      <c r="I852" s="520"/>
      <c r="J852" s="507"/>
      <c r="K852" s="507">
        <f t="shared" si="182"/>
        <v>0</v>
      </c>
      <c r="L852" s="521"/>
      <c r="M852" s="521"/>
      <c r="N852" s="521"/>
      <c r="O852" s="521"/>
      <c r="P852" s="521"/>
      <c r="Q852" s="521"/>
      <c r="R852" s="521"/>
      <c r="S852" s="521"/>
      <c r="T852" s="521"/>
      <c r="U852" s="521"/>
      <c r="V852" s="521"/>
      <c r="W852" s="521"/>
      <c r="X852" s="521">
        <f t="shared" si="187"/>
        <v>0</v>
      </c>
      <c r="Y852" s="508"/>
    </row>
    <row r="853" spans="1:25" ht="180">
      <c r="A853" s="482" t="s">
        <v>1315</v>
      </c>
      <c r="B853" s="516" t="s">
        <v>1316</v>
      </c>
      <c r="C853" s="548" t="s">
        <v>1256</v>
      </c>
      <c r="D853" s="516" t="s">
        <v>1317</v>
      </c>
      <c r="E853" s="538">
        <v>15156</v>
      </c>
      <c r="F853" s="515" t="s">
        <v>1318</v>
      </c>
      <c r="G853" s="546"/>
      <c r="H853" s="548">
        <v>12</v>
      </c>
      <c r="I853" s="548" t="s">
        <v>1319</v>
      </c>
      <c r="J853" s="553">
        <v>5000</v>
      </c>
      <c r="K853" s="553">
        <f t="shared" si="182"/>
        <v>60000</v>
      </c>
      <c r="L853" s="554">
        <f>K853/12</f>
        <v>5000</v>
      </c>
      <c r="M853" s="554">
        <f t="shared" ref="M853:W853" si="188">L853</f>
        <v>5000</v>
      </c>
      <c r="N853" s="554">
        <f t="shared" si="188"/>
        <v>5000</v>
      </c>
      <c r="O853" s="554">
        <f t="shared" si="188"/>
        <v>5000</v>
      </c>
      <c r="P853" s="554">
        <f t="shared" si="188"/>
        <v>5000</v>
      </c>
      <c r="Q853" s="554">
        <f t="shared" si="188"/>
        <v>5000</v>
      </c>
      <c r="R853" s="554">
        <f t="shared" si="188"/>
        <v>5000</v>
      </c>
      <c r="S853" s="554">
        <f t="shared" si="188"/>
        <v>5000</v>
      </c>
      <c r="T853" s="554">
        <f t="shared" si="188"/>
        <v>5000</v>
      </c>
      <c r="U853" s="554">
        <f t="shared" si="188"/>
        <v>5000</v>
      </c>
      <c r="V853" s="554">
        <f t="shared" si="188"/>
        <v>5000</v>
      </c>
      <c r="W853" s="554">
        <f t="shared" si="188"/>
        <v>5000</v>
      </c>
      <c r="X853" s="554">
        <f t="shared" si="187"/>
        <v>60000</v>
      </c>
      <c r="Y853" s="508"/>
    </row>
    <row r="854" spans="1:25">
      <c r="A854" s="515" t="s">
        <v>1320</v>
      </c>
      <c r="B854" s="516"/>
      <c r="C854" s="516"/>
      <c r="D854" s="516"/>
      <c r="E854" s="538"/>
      <c r="F854" s="515"/>
      <c r="G854" s="546"/>
      <c r="H854" s="538"/>
      <c r="I854" s="520"/>
      <c r="J854" s="507"/>
      <c r="K854" s="507">
        <f t="shared" si="182"/>
        <v>0</v>
      </c>
      <c r="L854" s="521"/>
      <c r="M854" s="521"/>
      <c r="N854" s="521"/>
      <c r="O854" s="521"/>
      <c r="P854" s="521"/>
      <c r="Q854" s="521"/>
      <c r="R854" s="521"/>
      <c r="S854" s="521"/>
      <c r="T854" s="521"/>
      <c r="U854" s="521"/>
      <c r="V854" s="521"/>
      <c r="W854" s="521"/>
      <c r="X854" s="521">
        <f t="shared" si="187"/>
        <v>0</v>
      </c>
      <c r="Y854" s="508"/>
    </row>
    <row r="855" spans="1:25">
      <c r="A855" s="515" t="s">
        <v>1066</v>
      </c>
      <c r="B855" s="516"/>
      <c r="C855" s="516"/>
      <c r="D855" s="516"/>
      <c r="E855" s="538"/>
      <c r="F855" s="515"/>
      <c r="G855" s="546"/>
      <c r="H855" s="538"/>
      <c r="I855" s="520"/>
      <c r="J855" s="507"/>
      <c r="K855" s="507">
        <f t="shared" si="182"/>
        <v>0</v>
      </c>
      <c r="L855" s="521"/>
      <c r="M855" s="521"/>
      <c r="N855" s="521"/>
      <c r="O855" s="521"/>
      <c r="P855" s="521"/>
      <c r="Q855" s="521"/>
      <c r="R855" s="521"/>
      <c r="S855" s="521"/>
      <c r="T855" s="521"/>
      <c r="U855" s="521"/>
      <c r="V855" s="521"/>
      <c r="W855" s="521"/>
      <c r="X855" s="521">
        <f t="shared" si="187"/>
        <v>0</v>
      </c>
      <c r="Y855" s="508"/>
    </row>
    <row r="856" spans="1:25">
      <c r="A856" s="515" t="s">
        <v>1067</v>
      </c>
      <c r="B856" s="516"/>
      <c r="C856" s="516"/>
      <c r="D856" s="516"/>
      <c r="E856" s="538"/>
      <c r="F856" s="515"/>
      <c r="G856" s="546"/>
      <c r="H856" s="538"/>
      <c r="I856" s="520"/>
      <c r="J856" s="507"/>
      <c r="K856" s="507">
        <f t="shared" si="182"/>
        <v>0</v>
      </c>
      <c r="L856" s="521"/>
      <c r="M856" s="521"/>
      <c r="N856" s="521"/>
      <c r="O856" s="521"/>
      <c r="P856" s="521"/>
      <c r="Q856" s="521"/>
      <c r="R856" s="521"/>
      <c r="S856" s="521"/>
      <c r="T856" s="521"/>
      <c r="U856" s="521"/>
      <c r="V856" s="521"/>
      <c r="W856" s="521"/>
      <c r="X856" s="521">
        <f t="shared" si="187"/>
        <v>0</v>
      </c>
      <c r="Y856" s="508"/>
    </row>
    <row r="857" spans="1:25">
      <c r="A857" s="515" t="s">
        <v>1068</v>
      </c>
      <c r="B857" s="516"/>
      <c r="C857" s="516"/>
      <c r="D857" s="516"/>
      <c r="E857" s="538"/>
      <c r="F857" s="515"/>
      <c r="G857" s="546"/>
      <c r="H857" s="538"/>
      <c r="I857" s="520"/>
      <c r="J857" s="507"/>
      <c r="K857" s="507">
        <f t="shared" si="182"/>
        <v>0</v>
      </c>
      <c r="L857" s="521"/>
      <c r="M857" s="521"/>
      <c r="N857" s="521"/>
      <c r="O857" s="521"/>
      <c r="P857" s="521"/>
      <c r="Q857" s="521"/>
      <c r="R857" s="521"/>
      <c r="S857" s="521"/>
      <c r="T857" s="521"/>
      <c r="U857" s="521"/>
      <c r="V857" s="521"/>
      <c r="W857" s="521"/>
      <c r="X857" s="521">
        <f t="shared" si="187"/>
        <v>0</v>
      </c>
      <c r="Y857" s="508"/>
    </row>
    <row r="858" spans="1:25">
      <c r="A858" s="509" t="s">
        <v>363</v>
      </c>
      <c r="B858" s="510"/>
      <c r="C858" s="510"/>
      <c r="D858" s="510"/>
      <c r="E858" s="551"/>
      <c r="F858" s="509"/>
      <c r="G858" s="552"/>
      <c r="H858" s="551"/>
      <c r="I858" s="514"/>
      <c r="J858" s="507"/>
      <c r="K858" s="507">
        <f t="shared" si="182"/>
        <v>0</v>
      </c>
      <c r="L858" s="497">
        <f t="shared" ref="L858:X858" si="189">SUM(L859:L860)</f>
        <v>79.84</v>
      </c>
      <c r="M858" s="497">
        <f t="shared" si="189"/>
        <v>79.84</v>
      </c>
      <c r="N858" s="497">
        <f t="shared" si="189"/>
        <v>79.84</v>
      </c>
      <c r="O858" s="497">
        <f t="shared" si="189"/>
        <v>79.84</v>
      </c>
      <c r="P858" s="497">
        <f t="shared" si="189"/>
        <v>79.84</v>
      </c>
      <c r="Q858" s="497">
        <f t="shared" si="189"/>
        <v>79.84</v>
      </c>
      <c r="R858" s="497">
        <f t="shared" si="189"/>
        <v>79.84</v>
      </c>
      <c r="S858" s="497">
        <f t="shared" si="189"/>
        <v>79.84</v>
      </c>
      <c r="T858" s="497">
        <f t="shared" si="189"/>
        <v>87.824000000000012</v>
      </c>
      <c r="U858" s="497">
        <f t="shared" si="189"/>
        <v>87.824000000000012</v>
      </c>
      <c r="V858" s="497">
        <f t="shared" si="189"/>
        <v>87.824000000000012</v>
      </c>
      <c r="W858" s="497">
        <f t="shared" si="189"/>
        <v>87.824000000000012</v>
      </c>
      <c r="X858" s="497">
        <f t="shared" si="189"/>
        <v>990.01600000000019</v>
      </c>
      <c r="Y858" s="508"/>
    </row>
    <row r="859" spans="1:25" ht="60">
      <c r="A859" s="515" t="s">
        <v>1321</v>
      </c>
      <c r="B859" s="516" t="s">
        <v>1322</v>
      </c>
      <c r="C859" s="538" t="s">
        <v>1256</v>
      </c>
      <c r="D859" s="516" t="s">
        <v>1323</v>
      </c>
      <c r="E859" s="538">
        <v>10111</v>
      </c>
      <c r="F859" s="555"/>
      <c r="G859" s="556"/>
      <c r="H859" s="538">
        <v>200</v>
      </c>
      <c r="I859" s="538" t="s">
        <v>1324</v>
      </c>
      <c r="J859" s="507">
        <v>4.99</v>
      </c>
      <c r="K859" s="507">
        <f t="shared" si="182"/>
        <v>998</v>
      </c>
      <c r="L859" s="557">
        <f>16*4.99</f>
        <v>79.84</v>
      </c>
      <c r="M859" s="557">
        <f t="shared" ref="M859:S859" si="190">L859</f>
        <v>79.84</v>
      </c>
      <c r="N859" s="557">
        <f t="shared" si="190"/>
        <v>79.84</v>
      </c>
      <c r="O859" s="557">
        <f t="shared" si="190"/>
        <v>79.84</v>
      </c>
      <c r="P859" s="557">
        <f t="shared" si="190"/>
        <v>79.84</v>
      </c>
      <c r="Q859" s="557">
        <f t="shared" si="190"/>
        <v>79.84</v>
      </c>
      <c r="R859" s="557">
        <f t="shared" si="190"/>
        <v>79.84</v>
      </c>
      <c r="S859" s="557">
        <f t="shared" si="190"/>
        <v>79.84</v>
      </c>
      <c r="T859" s="557" t="s">
        <v>334</v>
      </c>
      <c r="U859" s="557" t="s">
        <v>334</v>
      </c>
      <c r="V859" s="557" t="s">
        <v>334</v>
      </c>
      <c r="W859" s="557" t="s">
        <v>334</v>
      </c>
      <c r="X859" s="521">
        <f>SUM(L859:W859)</f>
        <v>638.72000000000014</v>
      </c>
      <c r="Y859" s="508"/>
    </row>
    <row r="860" spans="1:25">
      <c r="A860" s="515" t="s">
        <v>1325</v>
      </c>
      <c r="B860" s="558"/>
      <c r="C860" s="558"/>
      <c r="D860" s="558"/>
      <c r="E860" s="559"/>
      <c r="F860" s="555"/>
      <c r="G860" s="556"/>
      <c r="H860" s="538">
        <v>200</v>
      </c>
      <c r="I860" s="538" t="s">
        <v>1324</v>
      </c>
      <c r="J860" s="507">
        <f>J859*1.1</f>
        <v>5.4890000000000008</v>
      </c>
      <c r="K860" s="507">
        <f t="shared" si="182"/>
        <v>1097.8000000000002</v>
      </c>
      <c r="L860" s="560" t="s">
        <v>334</v>
      </c>
      <c r="M860" s="560" t="s">
        <v>334</v>
      </c>
      <c r="N860" s="560" t="s">
        <v>334</v>
      </c>
      <c r="O860" s="560" t="s">
        <v>334</v>
      </c>
      <c r="P860" s="560" t="s">
        <v>334</v>
      </c>
      <c r="Q860" s="560" t="s">
        <v>334</v>
      </c>
      <c r="R860" s="560" t="s">
        <v>334</v>
      </c>
      <c r="S860" s="560" t="s">
        <v>334</v>
      </c>
      <c r="T860" s="557">
        <f>S859*1.1</f>
        <v>87.824000000000012</v>
      </c>
      <c r="U860" s="557">
        <f>S859*1.1</f>
        <v>87.824000000000012</v>
      </c>
      <c r="V860" s="557">
        <f>S859*1.1</f>
        <v>87.824000000000012</v>
      </c>
      <c r="W860" s="557">
        <f>S859*1.1</f>
        <v>87.824000000000012</v>
      </c>
      <c r="X860" s="521">
        <f>SUM(L860:W860)</f>
        <v>351.29600000000005</v>
      </c>
      <c r="Y860" s="508"/>
    </row>
    <row r="861" spans="1:25">
      <c r="A861" s="509" t="s">
        <v>978</v>
      </c>
      <c r="B861" s="510"/>
      <c r="C861" s="510"/>
      <c r="D861" s="510"/>
      <c r="E861" s="551"/>
      <c r="F861" s="509"/>
      <c r="G861" s="552"/>
      <c r="H861" s="551"/>
      <c r="I861" s="514"/>
      <c r="J861" s="507"/>
      <c r="K861" s="507">
        <f t="shared" si="182"/>
        <v>0</v>
      </c>
      <c r="L861" s="497">
        <f t="shared" ref="L861:X861" si="191">SUM(L862:L862)</f>
        <v>0</v>
      </c>
      <c r="M861" s="497">
        <f t="shared" si="191"/>
        <v>0</v>
      </c>
      <c r="N861" s="497">
        <f t="shared" si="191"/>
        <v>0</v>
      </c>
      <c r="O861" s="497">
        <f t="shared" si="191"/>
        <v>0</v>
      </c>
      <c r="P861" s="497">
        <f t="shared" si="191"/>
        <v>0</v>
      </c>
      <c r="Q861" s="497">
        <f t="shared" si="191"/>
        <v>0</v>
      </c>
      <c r="R861" s="497">
        <f t="shared" si="191"/>
        <v>0</v>
      </c>
      <c r="S861" s="497">
        <f t="shared" si="191"/>
        <v>0</v>
      </c>
      <c r="T861" s="497">
        <f t="shared" si="191"/>
        <v>0</v>
      </c>
      <c r="U861" s="497">
        <f t="shared" si="191"/>
        <v>0</v>
      </c>
      <c r="V861" s="497">
        <f t="shared" si="191"/>
        <v>0</v>
      </c>
      <c r="W861" s="497">
        <f t="shared" si="191"/>
        <v>0</v>
      </c>
      <c r="X861" s="497">
        <f t="shared" si="191"/>
        <v>0</v>
      </c>
      <c r="Y861" s="508"/>
    </row>
    <row r="862" spans="1:25">
      <c r="A862" s="555" t="s">
        <v>1044</v>
      </c>
      <c r="B862" s="558"/>
      <c r="C862" s="558"/>
      <c r="D862" s="558"/>
      <c r="E862" s="559"/>
      <c r="F862" s="555"/>
      <c r="G862" s="556"/>
      <c r="H862" s="559"/>
      <c r="I862" s="561"/>
      <c r="J862" s="507"/>
      <c r="K862" s="507">
        <f t="shared" si="182"/>
        <v>0</v>
      </c>
      <c r="L862" s="521"/>
      <c r="M862" s="521"/>
      <c r="N862" s="521"/>
      <c r="O862" s="521"/>
      <c r="P862" s="521"/>
      <c r="Q862" s="521"/>
      <c r="R862" s="521"/>
      <c r="S862" s="521"/>
      <c r="T862" s="521"/>
      <c r="U862" s="521"/>
      <c r="V862" s="521"/>
      <c r="W862" s="521"/>
      <c r="X862" s="521">
        <f>SUM(L862:W862)</f>
        <v>0</v>
      </c>
      <c r="Y862" s="508"/>
    </row>
    <row r="863" spans="1:25">
      <c r="A863" s="509" t="s">
        <v>983</v>
      </c>
      <c r="B863" s="510"/>
      <c r="C863" s="510"/>
      <c r="D863" s="510"/>
      <c r="E863" s="551"/>
      <c r="F863" s="509"/>
      <c r="G863" s="552"/>
      <c r="H863" s="551"/>
      <c r="I863" s="514"/>
      <c r="J863" s="507"/>
      <c r="K863" s="507">
        <f t="shared" si="182"/>
        <v>0</v>
      </c>
      <c r="L863" s="497">
        <f t="shared" ref="L863:X863" si="192">SUM(L864:L865)</f>
        <v>0</v>
      </c>
      <c r="M863" s="497">
        <f t="shared" si="192"/>
        <v>0</v>
      </c>
      <c r="N863" s="497">
        <f t="shared" si="192"/>
        <v>0</v>
      </c>
      <c r="O863" s="497">
        <f t="shared" si="192"/>
        <v>0</v>
      </c>
      <c r="P863" s="497">
        <f t="shared" si="192"/>
        <v>0</v>
      </c>
      <c r="Q863" s="497">
        <f t="shared" si="192"/>
        <v>0</v>
      </c>
      <c r="R863" s="497">
        <f t="shared" si="192"/>
        <v>0</v>
      </c>
      <c r="S863" s="497">
        <f t="shared" si="192"/>
        <v>0</v>
      </c>
      <c r="T863" s="497">
        <f t="shared" si="192"/>
        <v>0</v>
      </c>
      <c r="U863" s="497">
        <f t="shared" si="192"/>
        <v>0</v>
      </c>
      <c r="V863" s="497">
        <f t="shared" si="192"/>
        <v>0</v>
      </c>
      <c r="W863" s="497">
        <f t="shared" si="192"/>
        <v>0</v>
      </c>
      <c r="X863" s="497">
        <f t="shared" si="192"/>
        <v>0</v>
      </c>
      <c r="Y863" s="508"/>
    </row>
    <row r="864" spans="1:25">
      <c r="A864" s="555"/>
      <c r="B864" s="558"/>
      <c r="C864" s="558"/>
      <c r="D864" s="558"/>
      <c r="E864" s="559"/>
      <c r="F864" s="555"/>
      <c r="G864" s="556"/>
      <c r="H864" s="559"/>
      <c r="I864" s="561"/>
      <c r="J864" s="507"/>
      <c r="K864" s="507">
        <f t="shared" si="182"/>
        <v>0</v>
      </c>
      <c r="L864" s="560"/>
      <c r="M864" s="560"/>
      <c r="N864" s="560"/>
      <c r="O864" s="560"/>
      <c r="P864" s="560"/>
      <c r="Q864" s="560"/>
      <c r="R864" s="560"/>
      <c r="S864" s="560"/>
      <c r="T864" s="560"/>
      <c r="U864" s="560"/>
      <c r="V864" s="560"/>
      <c r="W864" s="560"/>
      <c r="X864" s="521">
        <f>SUM(L864:W864)</f>
        <v>0</v>
      </c>
      <c r="Y864" s="508"/>
    </row>
    <row r="865" spans="1:25">
      <c r="A865" s="555" t="s">
        <v>1044</v>
      </c>
      <c r="B865" s="558"/>
      <c r="C865" s="558"/>
      <c r="D865" s="558"/>
      <c r="E865" s="559"/>
      <c r="F865" s="555"/>
      <c r="G865" s="556"/>
      <c r="H865" s="559"/>
      <c r="I865" s="561"/>
      <c r="J865" s="507"/>
      <c r="K865" s="507">
        <f t="shared" si="182"/>
        <v>0</v>
      </c>
      <c r="L865" s="521"/>
      <c r="M865" s="521"/>
      <c r="N865" s="521"/>
      <c r="O865" s="521"/>
      <c r="P865" s="521"/>
      <c r="Q865" s="521"/>
      <c r="R865" s="521"/>
      <c r="S865" s="521"/>
      <c r="T865" s="521"/>
      <c r="U865" s="521"/>
      <c r="V865" s="521"/>
      <c r="W865" s="521"/>
      <c r="X865" s="521">
        <f>SUM(L865:W865)</f>
        <v>0</v>
      </c>
      <c r="Y865" s="508"/>
    </row>
    <row r="866" spans="1:25">
      <c r="A866" s="562" t="s">
        <v>1326</v>
      </c>
      <c r="B866" s="563"/>
      <c r="C866" s="563"/>
      <c r="D866" s="563"/>
      <c r="E866" s="564"/>
      <c r="F866" s="562"/>
      <c r="G866" s="565"/>
      <c r="H866" s="564"/>
      <c r="I866" s="566"/>
      <c r="J866" s="507"/>
      <c r="K866" s="507">
        <f t="shared" si="182"/>
        <v>0</v>
      </c>
      <c r="L866" s="567">
        <f t="shared" ref="L866:X866" si="193">L867+L869</f>
        <v>0</v>
      </c>
      <c r="M866" s="567">
        <f t="shared" si="193"/>
        <v>0</v>
      </c>
      <c r="N866" s="567">
        <f t="shared" si="193"/>
        <v>0</v>
      </c>
      <c r="O866" s="567">
        <f t="shared" si="193"/>
        <v>0</v>
      </c>
      <c r="P866" s="567">
        <f t="shared" si="193"/>
        <v>0</v>
      </c>
      <c r="Q866" s="567">
        <f t="shared" si="193"/>
        <v>0</v>
      </c>
      <c r="R866" s="567">
        <f t="shared" si="193"/>
        <v>0</v>
      </c>
      <c r="S866" s="567">
        <f t="shared" si="193"/>
        <v>0</v>
      </c>
      <c r="T866" s="567">
        <f t="shared" si="193"/>
        <v>0</v>
      </c>
      <c r="U866" s="567">
        <f t="shared" si="193"/>
        <v>0</v>
      </c>
      <c r="V866" s="567">
        <f t="shared" si="193"/>
        <v>0</v>
      </c>
      <c r="W866" s="567">
        <f t="shared" si="193"/>
        <v>0</v>
      </c>
      <c r="X866" s="497">
        <f t="shared" si="193"/>
        <v>0</v>
      </c>
      <c r="Y866" s="508"/>
    </row>
    <row r="867" spans="1:25">
      <c r="A867" s="509" t="s">
        <v>1327</v>
      </c>
      <c r="B867" s="510"/>
      <c r="C867" s="510"/>
      <c r="D867" s="510"/>
      <c r="E867" s="551"/>
      <c r="F867" s="509"/>
      <c r="G867" s="552"/>
      <c r="H867" s="551"/>
      <c r="I867" s="514"/>
      <c r="J867" s="507"/>
      <c r="K867" s="507">
        <f t="shared" si="182"/>
        <v>0</v>
      </c>
      <c r="L867" s="497">
        <f t="shared" ref="L867:X867" si="194">L868</f>
        <v>0</v>
      </c>
      <c r="M867" s="497">
        <f t="shared" si="194"/>
        <v>0</v>
      </c>
      <c r="N867" s="497">
        <f t="shared" si="194"/>
        <v>0</v>
      </c>
      <c r="O867" s="497">
        <f t="shared" si="194"/>
        <v>0</v>
      </c>
      <c r="P867" s="497">
        <f t="shared" si="194"/>
        <v>0</v>
      </c>
      <c r="Q867" s="497">
        <f t="shared" si="194"/>
        <v>0</v>
      </c>
      <c r="R867" s="497">
        <f t="shared" si="194"/>
        <v>0</v>
      </c>
      <c r="S867" s="497">
        <f t="shared" si="194"/>
        <v>0</v>
      </c>
      <c r="T867" s="497">
        <f t="shared" si="194"/>
        <v>0</v>
      </c>
      <c r="U867" s="497">
        <f t="shared" si="194"/>
        <v>0</v>
      </c>
      <c r="V867" s="497">
        <f t="shared" si="194"/>
        <v>0</v>
      </c>
      <c r="W867" s="497">
        <f t="shared" si="194"/>
        <v>0</v>
      </c>
      <c r="X867" s="497">
        <f t="shared" si="194"/>
        <v>0</v>
      </c>
      <c r="Y867" s="508"/>
    </row>
    <row r="868" spans="1:25">
      <c r="A868" s="515" t="s">
        <v>1328</v>
      </c>
      <c r="B868" s="516"/>
      <c r="C868" s="516"/>
      <c r="D868" s="516"/>
      <c r="E868" s="538"/>
      <c r="F868" s="515"/>
      <c r="G868" s="546"/>
      <c r="H868" s="538"/>
      <c r="I868" s="520"/>
      <c r="J868" s="507"/>
      <c r="K868" s="507">
        <f t="shared" si="182"/>
        <v>0</v>
      </c>
      <c r="L868" s="521"/>
      <c r="M868" s="521"/>
      <c r="N868" s="521"/>
      <c r="O868" s="521"/>
      <c r="P868" s="521"/>
      <c r="Q868" s="521"/>
      <c r="R868" s="521"/>
      <c r="S868" s="521"/>
      <c r="T868" s="521"/>
      <c r="U868" s="521"/>
      <c r="V868" s="521"/>
      <c r="W868" s="521"/>
      <c r="X868" s="521">
        <f>SUM(L868:W868)</f>
        <v>0</v>
      </c>
      <c r="Y868" s="508"/>
    </row>
    <row r="869" spans="1:25">
      <c r="A869" s="509" t="s">
        <v>1329</v>
      </c>
      <c r="B869" s="510"/>
      <c r="C869" s="510"/>
      <c r="D869" s="510"/>
      <c r="E869" s="551"/>
      <c r="F869" s="509"/>
      <c r="G869" s="552"/>
      <c r="H869" s="551"/>
      <c r="I869" s="514"/>
      <c r="J869" s="507"/>
      <c r="K869" s="507">
        <f t="shared" si="182"/>
        <v>0</v>
      </c>
      <c r="L869" s="497">
        <f t="shared" ref="L869:X869" si="195">SUM(L870:L872)</f>
        <v>0</v>
      </c>
      <c r="M869" s="497">
        <f t="shared" si="195"/>
        <v>0</v>
      </c>
      <c r="N869" s="497">
        <f t="shared" si="195"/>
        <v>0</v>
      </c>
      <c r="O869" s="497">
        <f t="shared" si="195"/>
        <v>0</v>
      </c>
      <c r="P869" s="497">
        <f t="shared" si="195"/>
        <v>0</v>
      </c>
      <c r="Q869" s="497">
        <f t="shared" si="195"/>
        <v>0</v>
      </c>
      <c r="R869" s="497">
        <f t="shared" si="195"/>
        <v>0</v>
      </c>
      <c r="S869" s="497">
        <f t="shared" si="195"/>
        <v>0</v>
      </c>
      <c r="T869" s="497">
        <f t="shared" si="195"/>
        <v>0</v>
      </c>
      <c r="U869" s="497">
        <f t="shared" si="195"/>
        <v>0</v>
      </c>
      <c r="V869" s="497">
        <f t="shared" si="195"/>
        <v>0</v>
      </c>
      <c r="W869" s="497">
        <f t="shared" si="195"/>
        <v>0</v>
      </c>
      <c r="X869" s="497">
        <f t="shared" si="195"/>
        <v>0</v>
      </c>
      <c r="Y869" s="508"/>
    </row>
    <row r="870" spans="1:25">
      <c r="A870" s="515" t="s">
        <v>1330</v>
      </c>
      <c r="B870" s="516"/>
      <c r="C870" s="516"/>
      <c r="D870" s="516"/>
      <c r="E870" s="538"/>
      <c r="F870" s="515"/>
      <c r="G870" s="546"/>
      <c r="H870" s="538"/>
      <c r="I870" s="520"/>
      <c r="J870" s="507"/>
      <c r="K870" s="507">
        <f t="shared" ref="K870:K873" si="196">H870*J870</f>
        <v>0</v>
      </c>
      <c r="L870" s="521"/>
      <c r="M870" s="521"/>
      <c r="N870" s="521"/>
      <c r="O870" s="521"/>
      <c r="P870" s="521"/>
      <c r="Q870" s="521"/>
      <c r="R870" s="521"/>
      <c r="S870" s="521"/>
      <c r="T870" s="521"/>
      <c r="U870" s="521"/>
      <c r="V870" s="521"/>
      <c r="W870" s="521"/>
      <c r="X870" s="521">
        <f>SUM(L870:W870)</f>
        <v>0</v>
      </c>
      <c r="Y870" s="508"/>
    </row>
    <row r="871" spans="1:25">
      <c r="A871" s="515" t="s">
        <v>1331</v>
      </c>
      <c r="B871" s="516"/>
      <c r="C871" s="516"/>
      <c r="D871" s="516"/>
      <c r="E871" s="538"/>
      <c r="F871" s="515"/>
      <c r="G871" s="546"/>
      <c r="H871" s="538"/>
      <c r="I871" s="520"/>
      <c r="J871" s="507"/>
      <c r="K871" s="507">
        <f t="shared" si="196"/>
        <v>0</v>
      </c>
      <c r="L871" s="521"/>
      <c r="M871" s="521"/>
      <c r="N871" s="521"/>
      <c r="O871" s="521"/>
      <c r="P871" s="521"/>
      <c r="Q871" s="521"/>
      <c r="R871" s="521"/>
      <c r="S871" s="521"/>
      <c r="T871" s="521"/>
      <c r="U871" s="521"/>
      <c r="V871" s="521"/>
      <c r="W871" s="521"/>
      <c r="X871" s="521">
        <f>SUM(L871:W871)</f>
        <v>0</v>
      </c>
      <c r="Y871" s="508"/>
    </row>
    <row r="872" spans="1:25">
      <c r="A872" s="515" t="s">
        <v>1332</v>
      </c>
      <c r="B872" s="516"/>
      <c r="C872" s="516"/>
      <c r="D872" s="516"/>
      <c r="E872" s="538"/>
      <c r="F872" s="515"/>
      <c r="G872" s="546"/>
      <c r="H872" s="538"/>
      <c r="I872" s="520"/>
      <c r="J872" s="507"/>
      <c r="K872" s="507">
        <f t="shared" si="196"/>
        <v>0</v>
      </c>
      <c r="L872" s="521"/>
      <c r="M872" s="521"/>
      <c r="N872" s="521"/>
      <c r="O872" s="521"/>
      <c r="P872" s="521"/>
      <c r="Q872" s="521"/>
      <c r="R872" s="521"/>
      <c r="S872" s="521"/>
      <c r="T872" s="521"/>
      <c r="U872" s="521"/>
      <c r="V872" s="521"/>
      <c r="W872" s="521"/>
      <c r="X872" s="521">
        <f>SUM(L872:W872)</f>
        <v>0</v>
      </c>
      <c r="Y872" s="508"/>
    </row>
    <row r="873" spans="1:25">
      <c r="A873" s="509" t="s">
        <v>985</v>
      </c>
      <c r="B873" s="510"/>
      <c r="C873" s="510"/>
      <c r="D873" s="510"/>
      <c r="E873" s="551"/>
      <c r="F873" s="509"/>
      <c r="G873" s="552"/>
      <c r="H873" s="551"/>
      <c r="I873" s="514"/>
      <c r="J873" s="507"/>
      <c r="K873" s="507">
        <f t="shared" si="196"/>
        <v>0</v>
      </c>
      <c r="L873" s="497">
        <f t="shared" ref="L873:X873" si="197">SUM(L874:L876)</f>
        <v>1665</v>
      </c>
      <c r="M873" s="497">
        <f t="shared" si="197"/>
        <v>1665</v>
      </c>
      <c r="N873" s="497">
        <f t="shared" si="197"/>
        <v>1665</v>
      </c>
      <c r="O873" s="497">
        <f t="shared" si="197"/>
        <v>1815.0000000000002</v>
      </c>
      <c r="P873" s="497">
        <f t="shared" si="197"/>
        <v>1815.0000000000002</v>
      </c>
      <c r="Q873" s="497">
        <f t="shared" si="197"/>
        <v>1815.0000000000002</v>
      </c>
      <c r="R873" s="497">
        <f t="shared" si="197"/>
        <v>1815.0000000000002</v>
      </c>
      <c r="S873" s="497">
        <f t="shared" si="197"/>
        <v>1815.0000000000002</v>
      </c>
      <c r="T873" s="497">
        <f t="shared" si="197"/>
        <v>1815.0000000000002</v>
      </c>
      <c r="U873" s="497">
        <f t="shared" si="197"/>
        <v>1815.0000000000002</v>
      </c>
      <c r="V873" s="497">
        <f t="shared" si="197"/>
        <v>1815.0000000000002</v>
      </c>
      <c r="W873" s="497">
        <f t="shared" si="197"/>
        <v>1815.0000000000002</v>
      </c>
      <c r="X873" s="497">
        <f t="shared" si="197"/>
        <v>21330</v>
      </c>
      <c r="Y873" s="508"/>
    </row>
    <row r="874" spans="1:25" ht="105">
      <c r="A874" s="515" t="s">
        <v>1333</v>
      </c>
      <c r="B874" s="516" t="s">
        <v>1334</v>
      </c>
      <c r="C874" s="538" t="s">
        <v>1267</v>
      </c>
      <c r="D874" s="516" t="s">
        <v>1335</v>
      </c>
      <c r="E874" s="538">
        <v>15156</v>
      </c>
      <c r="F874" s="515" t="s">
        <v>1318</v>
      </c>
      <c r="G874" s="546"/>
      <c r="H874" s="538"/>
      <c r="I874" s="520"/>
      <c r="J874" s="507"/>
      <c r="K874" s="507">
        <v>18000</v>
      </c>
      <c r="L874" s="521">
        <f>18000/12</f>
        <v>1500</v>
      </c>
      <c r="M874" s="521">
        <v>1500</v>
      </c>
      <c r="N874" s="521">
        <v>1500</v>
      </c>
      <c r="O874" s="521" t="s">
        <v>334</v>
      </c>
      <c r="P874" s="521" t="s">
        <v>334</v>
      </c>
      <c r="Q874" s="521" t="s">
        <v>334</v>
      </c>
      <c r="R874" s="521" t="s">
        <v>334</v>
      </c>
      <c r="S874" s="521" t="s">
        <v>334</v>
      </c>
      <c r="T874" s="521" t="s">
        <v>334</v>
      </c>
      <c r="U874" s="521" t="s">
        <v>334</v>
      </c>
      <c r="V874" s="521" t="s">
        <v>334</v>
      </c>
      <c r="W874" s="521" t="s">
        <v>334</v>
      </c>
      <c r="X874" s="521">
        <f t="shared" ref="X874:X882" si="198">SUM(L874:W874)</f>
        <v>4500</v>
      </c>
      <c r="Y874" s="508"/>
    </row>
    <row r="875" spans="1:25" ht="105">
      <c r="A875" s="515" t="s">
        <v>1336</v>
      </c>
      <c r="B875" s="516" t="s">
        <v>1334</v>
      </c>
      <c r="C875" s="538" t="s">
        <v>1267</v>
      </c>
      <c r="D875" s="516" t="s">
        <v>1335</v>
      </c>
      <c r="E875" s="538">
        <v>15156</v>
      </c>
      <c r="F875" s="515" t="s">
        <v>1318</v>
      </c>
      <c r="G875" s="546" t="s">
        <v>1337</v>
      </c>
      <c r="H875" s="538">
        <v>60</v>
      </c>
      <c r="I875" s="520"/>
      <c r="J875" s="507">
        <f>25*1.1*12</f>
        <v>330.00000000000006</v>
      </c>
      <c r="K875" s="507">
        <f t="shared" ref="K875:K882" si="199">H875*J875</f>
        <v>19800.000000000004</v>
      </c>
      <c r="L875" s="521" t="s">
        <v>334</v>
      </c>
      <c r="M875" s="521" t="s">
        <v>334</v>
      </c>
      <c r="N875" s="521" t="s">
        <v>334</v>
      </c>
      <c r="O875" s="521">
        <f>L874*1.1</f>
        <v>1650.0000000000002</v>
      </c>
      <c r="P875" s="521">
        <f>M874*1.1</f>
        <v>1650.0000000000002</v>
      </c>
      <c r="Q875" s="521">
        <f>N874*1.1</f>
        <v>1650.0000000000002</v>
      </c>
      <c r="R875" s="521">
        <f t="shared" ref="R875:W875" si="200">O875</f>
        <v>1650.0000000000002</v>
      </c>
      <c r="S875" s="521">
        <f t="shared" si="200"/>
        <v>1650.0000000000002</v>
      </c>
      <c r="T875" s="521">
        <f t="shared" si="200"/>
        <v>1650.0000000000002</v>
      </c>
      <c r="U875" s="521">
        <f t="shared" si="200"/>
        <v>1650.0000000000002</v>
      </c>
      <c r="V875" s="521">
        <f t="shared" si="200"/>
        <v>1650.0000000000002</v>
      </c>
      <c r="W875" s="521">
        <f t="shared" si="200"/>
        <v>1650.0000000000002</v>
      </c>
      <c r="X875" s="521">
        <f t="shared" si="198"/>
        <v>14850.000000000002</v>
      </c>
      <c r="Y875" s="508"/>
    </row>
    <row r="876" spans="1:25" ht="105">
      <c r="A876" s="515" t="s">
        <v>986</v>
      </c>
      <c r="B876" s="516" t="s">
        <v>1334</v>
      </c>
      <c r="C876" s="538" t="s">
        <v>1269</v>
      </c>
      <c r="D876" s="516" t="s">
        <v>1335</v>
      </c>
      <c r="E876" s="538">
        <v>15156</v>
      </c>
      <c r="F876" s="515" t="s">
        <v>1318</v>
      </c>
      <c r="G876" s="546" t="s">
        <v>1338</v>
      </c>
      <c r="H876" s="538">
        <v>6</v>
      </c>
      <c r="I876" s="520"/>
      <c r="J876" s="507">
        <f>25*1.1*12</f>
        <v>330.00000000000006</v>
      </c>
      <c r="K876" s="507">
        <f t="shared" si="199"/>
        <v>1980.0000000000005</v>
      </c>
      <c r="L876" s="521">
        <f>K876/12</f>
        <v>165.00000000000003</v>
      </c>
      <c r="M876" s="521">
        <f t="shared" ref="M876:W876" si="201">L876</f>
        <v>165.00000000000003</v>
      </c>
      <c r="N876" s="521">
        <f t="shared" si="201"/>
        <v>165.00000000000003</v>
      </c>
      <c r="O876" s="521">
        <f t="shared" si="201"/>
        <v>165.00000000000003</v>
      </c>
      <c r="P876" s="521">
        <f t="shared" si="201"/>
        <v>165.00000000000003</v>
      </c>
      <c r="Q876" s="521">
        <f t="shared" si="201"/>
        <v>165.00000000000003</v>
      </c>
      <c r="R876" s="521">
        <f t="shared" si="201"/>
        <v>165.00000000000003</v>
      </c>
      <c r="S876" s="521">
        <f t="shared" si="201"/>
        <v>165.00000000000003</v>
      </c>
      <c r="T876" s="521">
        <f t="shared" si="201"/>
        <v>165.00000000000003</v>
      </c>
      <c r="U876" s="521">
        <f t="shared" si="201"/>
        <v>165.00000000000003</v>
      </c>
      <c r="V876" s="521">
        <f t="shared" si="201"/>
        <v>165.00000000000003</v>
      </c>
      <c r="W876" s="521">
        <f t="shared" si="201"/>
        <v>165.00000000000003</v>
      </c>
      <c r="X876" s="521">
        <f t="shared" si="198"/>
        <v>1980.0000000000002</v>
      </c>
      <c r="Y876" s="508"/>
    </row>
    <row r="877" spans="1:25">
      <c r="A877" s="509" t="s">
        <v>556</v>
      </c>
      <c r="B877" s="510"/>
      <c r="C877" s="510"/>
      <c r="D877" s="510"/>
      <c r="E877" s="551"/>
      <c r="F877" s="509"/>
      <c r="G877" s="552"/>
      <c r="H877" s="551"/>
      <c r="I877" s="514"/>
      <c r="J877" s="507"/>
      <c r="K877" s="507">
        <f t="shared" si="199"/>
        <v>0</v>
      </c>
      <c r="L877" s="497">
        <f t="shared" ref="L877:W877" si="202">SUM(L878:L880)</f>
        <v>0</v>
      </c>
      <c r="M877" s="497">
        <f t="shared" si="202"/>
        <v>0</v>
      </c>
      <c r="N877" s="497">
        <f t="shared" si="202"/>
        <v>0</v>
      </c>
      <c r="O877" s="497">
        <f t="shared" si="202"/>
        <v>0</v>
      </c>
      <c r="P877" s="497">
        <f t="shared" si="202"/>
        <v>0</v>
      </c>
      <c r="Q877" s="497">
        <f t="shared" si="202"/>
        <v>0</v>
      </c>
      <c r="R877" s="497">
        <f t="shared" si="202"/>
        <v>0</v>
      </c>
      <c r="S877" s="497">
        <f t="shared" si="202"/>
        <v>0</v>
      </c>
      <c r="T877" s="497">
        <f t="shared" si="202"/>
        <v>0</v>
      </c>
      <c r="U877" s="497">
        <f t="shared" si="202"/>
        <v>0</v>
      </c>
      <c r="V877" s="497">
        <f t="shared" si="202"/>
        <v>0</v>
      </c>
      <c r="W877" s="497">
        <f t="shared" si="202"/>
        <v>0</v>
      </c>
      <c r="X877" s="497">
        <f t="shared" si="198"/>
        <v>0</v>
      </c>
      <c r="Y877" s="508"/>
    </row>
    <row r="878" spans="1:25">
      <c r="A878" s="515" t="s">
        <v>557</v>
      </c>
      <c r="B878" s="516"/>
      <c r="C878" s="516"/>
      <c r="D878" s="516"/>
      <c r="E878" s="538"/>
      <c r="F878" s="515"/>
      <c r="G878" s="546"/>
      <c r="H878" s="538"/>
      <c r="I878" s="520"/>
      <c r="J878" s="507"/>
      <c r="K878" s="507">
        <f t="shared" si="199"/>
        <v>0</v>
      </c>
      <c r="L878" s="521"/>
      <c r="M878" s="521"/>
      <c r="N878" s="521"/>
      <c r="O878" s="521"/>
      <c r="P878" s="521"/>
      <c r="Q878" s="521"/>
      <c r="R878" s="521"/>
      <c r="S878" s="521"/>
      <c r="T878" s="521"/>
      <c r="U878" s="521"/>
      <c r="V878" s="521"/>
      <c r="W878" s="521"/>
      <c r="X878" s="521">
        <f t="shared" si="198"/>
        <v>0</v>
      </c>
      <c r="Y878" s="508"/>
    </row>
    <row r="879" spans="1:25">
      <c r="A879" s="515" t="s">
        <v>558</v>
      </c>
      <c r="B879" s="516"/>
      <c r="C879" s="516"/>
      <c r="D879" s="516"/>
      <c r="E879" s="538"/>
      <c r="F879" s="515"/>
      <c r="G879" s="546"/>
      <c r="H879" s="538"/>
      <c r="I879" s="520"/>
      <c r="J879" s="507"/>
      <c r="K879" s="507">
        <f t="shared" si="199"/>
        <v>0</v>
      </c>
      <c r="L879" s="521"/>
      <c r="M879" s="521"/>
      <c r="N879" s="521"/>
      <c r="O879" s="521"/>
      <c r="P879" s="521"/>
      <c r="Q879" s="521"/>
      <c r="R879" s="521"/>
      <c r="S879" s="521"/>
      <c r="T879" s="521"/>
      <c r="U879" s="521"/>
      <c r="V879" s="521"/>
      <c r="W879" s="521"/>
      <c r="X879" s="521">
        <f t="shared" si="198"/>
        <v>0</v>
      </c>
      <c r="Y879" s="508"/>
    </row>
    <row r="880" spans="1:25">
      <c r="A880" s="515" t="s">
        <v>559</v>
      </c>
      <c r="B880" s="516"/>
      <c r="C880" s="516"/>
      <c r="D880" s="516"/>
      <c r="E880" s="538"/>
      <c r="F880" s="515"/>
      <c r="G880" s="546"/>
      <c r="H880" s="538"/>
      <c r="I880" s="520"/>
      <c r="J880" s="507"/>
      <c r="K880" s="507">
        <f t="shared" si="199"/>
        <v>0</v>
      </c>
      <c r="L880" s="521"/>
      <c r="M880" s="521"/>
      <c r="N880" s="521"/>
      <c r="O880" s="521"/>
      <c r="P880" s="521"/>
      <c r="Q880" s="521"/>
      <c r="R880" s="521"/>
      <c r="S880" s="521"/>
      <c r="T880" s="521"/>
      <c r="U880" s="521"/>
      <c r="V880" s="521"/>
      <c r="W880" s="521"/>
      <c r="X880" s="521">
        <f t="shared" si="198"/>
        <v>0</v>
      </c>
      <c r="Y880" s="508"/>
    </row>
    <row r="881" spans="1:25">
      <c r="A881" s="509" t="s">
        <v>461</v>
      </c>
      <c r="B881" s="516"/>
      <c r="C881" s="516"/>
      <c r="D881" s="516"/>
      <c r="E881" s="538"/>
      <c r="F881" s="515"/>
      <c r="G881" s="546"/>
      <c r="H881" s="538"/>
      <c r="I881" s="520"/>
      <c r="J881" s="507"/>
      <c r="K881" s="507">
        <f t="shared" si="199"/>
        <v>0</v>
      </c>
      <c r="L881" s="497">
        <f t="shared" ref="L881:W881" si="203">SUM(L884:L886)</f>
        <v>0</v>
      </c>
      <c r="M881" s="497">
        <f t="shared" si="203"/>
        <v>0</v>
      </c>
      <c r="N881" s="497">
        <f t="shared" si="203"/>
        <v>4510</v>
      </c>
      <c r="O881" s="497">
        <f t="shared" si="203"/>
        <v>2200</v>
      </c>
      <c r="P881" s="497">
        <f t="shared" si="203"/>
        <v>2200</v>
      </c>
      <c r="Q881" s="497">
        <f t="shared" si="203"/>
        <v>2200</v>
      </c>
      <c r="R881" s="497">
        <f t="shared" si="203"/>
        <v>2200</v>
      </c>
      <c r="S881" s="497">
        <f t="shared" si="203"/>
        <v>2200</v>
      </c>
      <c r="T881" s="497">
        <f t="shared" si="203"/>
        <v>2200</v>
      </c>
      <c r="U881" s="497">
        <f t="shared" si="203"/>
        <v>2200</v>
      </c>
      <c r="V881" s="497">
        <f t="shared" si="203"/>
        <v>2200</v>
      </c>
      <c r="W881" s="497">
        <f t="shared" si="203"/>
        <v>2200</v>
      </c>
      <c r="X881" s="497">
        <f t="shared" si="198"/>
        <v>24310</v>
      </c>
      <c r="Y881" s="508"/>
    </row>
    <row r="882" spans="1:25" ht="60">
      <c r="A882" s="515" t="s">
        <v>461</v>
      </c>
      <c r="B882" s="516" t="s">
        <v>1339</v>
      </c>
      <c r="C882" s="538" t="s">
        <v>1256</v>
      </c>
      <c r="D882" s="516" t="s">
        <v>1340</v>
      </c>
      <c r="E882" s="538">
        <v>25992</v>
      </c>
      <c r="F882" s="515" t="s">
        <v>1341</v>
      </c>
      <c r="G882" s="546"/>
      <c r="H882" s="538">
        <v>12</v>
      </c>
      <c r="I882" s="520" t="s">
        <v>1342</v>
      </c>
      <c r="J882" s="507">
        <v>1800</v>
      </c>
      <c r="K882" s="507">
        <f t="shared" si="199"/>
        <v>21600</v>
      </c>
      <c r="L882" s="554">
        <f>K882/12</f>
        <v>1800</v>
      </c>
      <c r="M882" s="554">
        <f>K882/12</f>
        <v>1800</v>
      </c>
      <c r="N882" s="554">
        <f t="shared" ref="N882:W882" si="204">M882</f>
        <v>1800</v>
      </c>
      <c r="O882" s="554">
        <f t="shared" si="204"/>
        <v>1800</v>
      </c>
      <c r="P882" s="554">
        <f t="shared" si="204"/>
        <v>1800</v>
      </c>
      <c r="Q882" s="554">
        <f t="shared" si="204"/>
        <v>1800</v>
      </c>
      <c r="R882" s="554">
        <f t="shared" si="204"/>
        <v>1800</v>
      </c>
      <c r="S882" s="554">
        <f t="shared" si="204"/>
        <v>1800</v>
      </c>
      <c r="T882" s="554">
        <f t="shared" si="204"/>
        <v>1800</v>
      </c>
      <c r="U882" s="554">
        <f t="shared" si="204"/>
        <v>1800</v>
      </c>
      <c r="V882" s="554">
        <f t="shared" si="204"/>
        <v>1800</v>
      </c>
      <c r="W882" s="554">
        <f t="shared" si="204"/>
        <v>1800</v>
      </c>
      <c r="X882" s="521">
        <f t="shared" si="198"/>
        <v>21600</v>
      </c>
      <c r="Y882" s="508"/>
    </row>
    <row r="883" spans="1:25" ht="240">
      <c r="A883" s="515" t="s">
        <v>1343</v>
      </c>
      <c r="B883" s="516" t="s">
        <v>1344</v>
      </c>
      <c r="C883" s="538" t="s">
        <v>1256</v>
      </c>
      <c r="D883" s="516" t="s">
        <v>1345</v>
      </c>
      <c r="E883" s="538">
        <v>27472</v>
      </c>
      <c r="F883" s="515" t="s">
        <v>1346</v>
      </c>
      <c r="G883" s="546" t="s">
        <v>1347</v>
      </c>
      <c r="H883" s="538">
        <v>1</v>
      </c>
      <c r="I883" s="520" t="s">
        <v>1348</v>
      </c>
      <c r="J883" s="507">
        <f>K883</f>
        <v>302500</v>
      </c>
      <c r="K883" s="507">
        <f>275000*1.1</f>
        <v>302500</v>
      </c>
      <c r="L883" s="521">
        <v>0</v>
      </c>
      <c r="M883" s="521">
        <v>0</v>
      </c>
      <c r="N883" s="521">
        <f>K883</f>
        <v>302500</v>
      </c>
      <c r="O883" s="521">
        <v>0</v>
      </c>
      <c r="P883" s="521">
        <v>0</v>
      </c>
      <c r="Q883" s="521">
        <v>0</v>
      </c>
      <c r="R883" s="521">
        <v>0</v>
      </c>
      <c r="S883" s="521">
        <v>0</v>
      </c>
      <c r="T883" s="521">
        <v>0</v>
      </c>
      <c r="U883" s="521">
        <v>0</v>
      </c>
      <c r="V883" s="521">
        <v>0</v>
      </c>
      <c r="W883" s="521">
        <v>0</v>
      </c>
      <c r="X883" s="521">
        <f>SUM(M883:W883)</f>
        <v>302500</v>
      </c>
      <c r="Y883" s="508"/>
    </row>
    <row r="884" spans="1:25" ht="240">
      <c r="A884" s="515" t="s">
        <v>1349</v>
      </c>
      <c r="B884" s="516" t="s">
        <v>1344</v>
      </c>
      <c r="C884" s="538" t="s">
        <v>1256</v>
      </c>
      <c r="D884" s="516" t="s">
        <v>1345</v>
      </c>
      <c r="E884" s="538">
        <v>25992</v>
      </c>
      <c r="F884" s="515" t="s">
        <v>1341</v>
      </c>
      <c r="G884" s="546" t="s">
        <v>1347</v>
      </c>
      <c r="H884" s="538">
        <v>1</v>
      </c>
      <c r="I884" s="520" t="s">
        <v>1342</v>
      </c>
      <c r="J884" s="507">
        <f>2000*1.1</f>
        <v>2200</v>
      </c>
      <c r="K884" s="507">
        <f>J884*12</f>
        <v>26400</v>
      </c>
      <c r="L884" s="521">
        <v>0</v>
      </c>
      <c r="M884" s="521">
        <v>0</v>
      </c>
      <c r="N884" s="521">
        <f t="shared" ref="N884:W884" si="205">$J$884</f>
        <v>2200</v>
      </c>
      <c r="O884" s="521">
        <f t="shared" si="205"/>
        <v>2200</v>
      </c>
      <c r="P884" s="521">
        <f t="shared" si="205"/>
        <v>2200</v>
      </c>
      <c r="Q884" s="521">
        <f t="shared" si="205"/>
        <v>2200</v>
      </c>
      <c r="R884" s="521">
        <f t="shared" si="205"/>
        <v>2200</v>
      </c>
      <c r="S884" s="521">
        <f t="shared" si="205"/>
        <v>2200</v>
      </c>
      <c r="T884" s="521">
        <f t="shared" si="205"/>
        <v>2200</v>
      </c>
      <c r="U884" s="521">
        <f t="shared" si="205"/>
        <v>2200</v>
      </c>
      <c r="V884" s="521">
        <f t="shared" si="205"/>
        <v>2200</v>
      </c>
      <c r="W884" s="521">
        <f t="shared" si="205"/>
        <v>2200</v>
      </c>
      <c r="X884" s="521">
        <f>SUM(L884:W884)</f>
        <v>22000</v>
      </c>
      <c r="Y884" s="508"/>
    </row>
    <row r="885" spans="1:25">
      <c r="A885" s="515" t="s">
        <v>494</v>
      </c>
      <c r="B885" s="516"/>
      <c r="C885" s="516"/>
      <c r="D885" s="516"/>
      <c r="E885" s="538"/>
      <c r="F885" s="515"/>
      <c r="G885" s="546"/>
      <c r="H885" s="538"/>
      <c r="I885" s="520"/>
      <c r="J885" s="507"/>
      <c r="K885" s="507">
        <f t="shared" ref="K885:K902" si="206">H885*J885</f>
        <v>0</v>
      </c>
      <c r="L885" s="521"/>
      <c r="M885" s="521"/>
      <c r="N885" s="521"/>
      <c r="O885" s="521"/>
      <c r="P885" s="521"/>
      <c r="Q885" s="521"/>
      <c r="R885" s="521"/>
      <c r="S885" s="521"/>
      <c r="T885" s="521"/>
      <c r="U885" s="521"/>
      <c r="V885" s="521"/>
      <c r="W885" s="521"/>
      <c r="X885" s="521">
        <f>SUM(L885:W885)</f>
        <v>0</v>
      </c>
      <c r="Y885" s="508"/>
    </row>
    <row r="886" spans="1:25" ht="300">
      <c r="A886" s="482" t="s">
        <v>1350</v>
      </c>
      <c r="B886" s="58" t="s">
        <v>1351</v>
      </c>
      <c r="C886" s="548" t="s">
        <v>1352</v>
      </c>
      <c r="D886" s="516" t="s">
        <v>1353</v>
      </c>
      <c r="E886" s="568" t="s">
        <v>1354</v>
      </c>
      <c r="F886" s="568" t="s">
        <v>1355</v>
      </c>
      <c r="G886" s="568" t="s">
        <v>1347</v>
      </c>
      <c r="H886" s="548">
        <v>6</v>
      </c>
      <c r="I886" s="548" t="s">
        <v>1356</v>
      </c>
      <c r="J886" s="553">
        <f>350*1.1</f>
        <v>385.00000000000006</v>
      </c>
      <c r="K886" s="553">
        <f t="shared" si="206"/>
        <v>2310.0000000000005</v>
      </c>
      <c r="L886" s="521">
        <v>0</v>
      </c>
      <c r="M886" s="554">
        <v>0</v>
      </c>
      <c r="N886" s="553">
        <f>K886</f>
        <v>2310.0000000000005</v>
      </c>
      <c r="O886" s="521">
        <v>0</v>
      </c>
      <c r="P886" s="521">
        <v>0</v>
      </c>
      <c r="Q886" s="521">
        <v>0</v>
      </c>
      <c r="R886" s="521">
        <v>0</v>
      </c>
      <c r="S886" s="521">
        <v>0</v>
      </c>
      <c r="T886" s="521">
        <v>0</v>
      </c>
      <c r="U886" s="521">
        <v>0</v>
      </c>
      <c r="V886" s="521">
        <v>0</v>
      </c>
      <c r="W886" s="521">
        <v>0</v>
      </c>
      <c r="X886" s="521">
        <f>SUM(L886:W886)</f>
        <v>2310.0000000000005</v>
      </c>
      <c r="Y886" s="508"/>
    </row>
    <row r="887" spans="1:25" ht="300">
      <c r="A887" s="482" t="s">
        <v>1350</v>
      </c>
      <c r="B887" s="58" t="s">
        <v>1357</v>
      </c>
      <c r="C887" s="548" t="s">
        <v>1352</v>
      </c>
      <c r="D887" s="516" t="s">
        <v>1353</v>
      </c>
      <c r="E887" s="568" t="s">
        <v>1358</v>
      </c>
      <c r="F887" s="568" t="s">
        <v>1359</v>
      </c>
      <c r="G887" s="568" t="s">
        <v>1347</v>
      </c>
      <c r="H887" s="548">
        <v>1</v>
      </c>
      <c r="I887" s="548" t="s">
        <v>1356</v>
      </c>
      <c r="J887" s="553">
        <f>350*1.1</f>
        <v>385.00000000000006</v>
      </c>
      <c r="K887" s="553">
        <f t="shared" si="206"/>
        <v>385.00000000000006</v>
      </c>
      <c r="L887" s="521">
        <v>0</v>
      </c>
      <c r="M887" s="554">
        <v>0</v>
      </c>
      <c r="N887" s="553">
        <f>K887</f>
        <v>385.00000000000006</v>
      </c>
      <c r="O887" s="521">
        <v>0</v>
      </c>
      <c r="P887" s="521">
        <v>0</v>
      </c>
      <c r="Q887" s="521">
        <v>0</v>
      </c>
      <c r="R887" s="521">
        <v>0</v>
      </c>
      <c r="S887" s="521">
        <v>0</v>
      </c>
      <c r="T887" s="521">
        <v>0</v>
      </c>
      <c r="U887" s="521">
        <v>0</v>
      </c>
      <c r="V887" s="521">
        <v>0</v>
      </c>
      <c r="W887" s="521">
        <v>0</v>
      </c>
      <c r="X887" s="521">
        <f>SUM(L887:W887)</f>
        <v>385.00000000000006</v>
      </c>
      <c r="Y887" s="508"/>
    </row>
    <row r="888" spans="1:25" ht="300">
      <c r="A888" s="482" t="s">
        <v>1360</v>
      </c>
      <c r="B888" s="58" t="s">
        <v>1361</v>
      </c>
      <c r="C888" s="548" t="s">
        <v>1352</v>
      </c>
      <c r="D888" s="516" t="s">
        <v>1353</v>
      </c>
      <c r="E888" s="568" t="s">
        <v>1362</v>
      </c>
      <c r="F888" s="568" t="s">
        <v>1363</v>
      </c>
      <c r="G888" s="568" t="s">
        <v>1347</v>
      </c>
      <c r="H888" s="548">
        <v>4</v>
      </c>
      <c r="I888" s="548" t="s">
        <v>1356</v>
      </c>
      <c r="J888" s="553">
        <f>350*1.1</f>
        <v>385.00000000000006</v>
      </c>
      <c r="K888" s="553">
        <f t="shared" si="206"/>
        <v>1540.0000000000002</v>
      </c>
      <c r="L888" s="521">
        <v>0</v>
      </c>
      <c r="M888" s="554">
        <v>0</v>
      </c>
      <c r="N888" s="553">
        <f>K888</f>
        <v>1540.0000000000002</v>
      </c>
      <c r="O888" s="521">
        <v>0</v>
      </c>
      <c r="P888" s="521">
        <v>0</v>
      </c>
      <c r="Q888" s="521">
        <v>0</v>
      </c>
      <c r="R888" s="521">
        <v>0</v>
      </c>
      <c r="S888" s="521">
        <v>0</v>
      </c>
      <c r="T888" s="521">
        <v>0</v>
      </c>
      <c r="U888" s="521">
        <v>0</v>
      </c>
      <c r="V888" s="521">
        <v>0</v>
      </c>
      <c r="W888" s="521">
        <v>0</v>
      </c>
      <c r="X888" s="521">
        <f>SUM(L888:W888)</f>
        <v>1540.0000000000002</v>
      </c>
      <c r="Y888" s="508"/>
    </row>
    <row r="889" spans="1:25">
      <c r="A889" s="509" t="s">
        <v>503</v>
      </c>
      <c r="B889" s="510"/>
      <c r="C889" s="551"/>
      <c r="D889" s="510"/>
      <c r="E889" s="551"/>
      <c r="F889" s="509"/>
      <c r="G889" s="552"/>
      <c r="H889" s="551"/>
      <c r="I889" s="514"/>
      <c r="J889" s="507"/>
      <c r="K889" s="507">
        <f t="shared" si="206"/>
        <v>0</v>
      </c>
      <c r="L889" s="497">
        <f t="shared" ref="L889:X889" si="207">SUM(L890:L909)</f>
        <v>612.5</v>
      </c>
      <c r="M889" s="497">
        <f t="shared" si="207"/>
        <v>612.5</v>
      </c>
      <c r="N889" s="497">
        <f t="shared" si="207"/>
        <v>612.5</v>
      </c>
      <c r="O889" s="497">
        <f t="shared" si="207"/>
        <v>612.5</v>
      </c>
      <c r="P889" s="497">
        <f t="shared" si="207"/>
        <v>612.5</v>
      </c>
      <c r="Q889" s="497">
        <f t="shared" si="207"/>
        <v>643.125</v>
      </c>
      <c r="R889" s="497">
        <f t="shared" si="207"/>
        <v>673.75</v>
      </c>
      <c r="S889" s="497">
        <f t="shared" si="207"/>
        <v>673.75</v>
      </c>
      <c r="T889" s="497">
        <f t="shared" si="207"/>
        <v>673.75</v>
      </c>
      <c r="U889" s="497">
        <f t="shared" si="207"/>
        <v>673.75</v>
      </c>
      <c r="V889" s="497">
        <f t="shared" si="207"/>
        <v>673.75</v>
      </c>
      <c r="W889" s="497">
        <f t="shared" si="207"/>
        <v>673.75</v>
      </c>
      <c r="X889" s="497">
        <f t="shared" si="207"/>
        <v>7748.125</v>
      </c>
      <c r="Y889" s="508"/>
    </row>
    <row r="890" spans="1:25">
      <c r="A890" s="515" t="s">
        <v>1364</v>
      </c>
      <c r="B890" s="516"/>
      <c r="C890" s="516"/>
      <c r="D890" s="516"/>
      <c r="E890" s="538"/>
      <c r="F890" s="515"/>
      <c r="G890" s="546"/>
      <c r="H890" s="538"/>
      <c r="I890" s="520"/>
      <c r="J890" s="507"/>
      <c r="K890" s="507">
        <f t="shared" si="206"/>
        <v>0</v>
      </c>
      <c r="L890" s="521"/>
      <c r="M890" s="521"/>
      <c r="N890" s="521"/>
      <c r="O890" s="521"/>
      <c r="P890" s="521"/>
      <c r="Q890" s="521"/>
      <c r="R890" s="521"/>
      <c r="S890" s="521"/>
      <c r="T890" s="521"/>
      <c r="U890" s="521"/>
      <c r="V890" s="521"/>
      <c r="W890" s="521"/>
      <c r="X890" s="521">
        <f t="shared" ref="X890:X909" si="208">SUM(L890:W890)</f>
        <v>0</v>
      </c>
      <c r="Y890" s="508"/>
    </row>
    <row r="891" spans="1:25">
      <c r="A891" s="515" t="s">
        <v>1365</v>
      </c>
      <c r="B891" s="516"/>
      <c r="C891" s="516"/>
      <c r="D891" s="516"/>
      <c r="E891" s="538"/>
      <c r="F891" s="515"/>
      <c r="G891" s="546"/>
      <c r="H891" s="538"/>
      <c r="I891" s="520"/>
      <c r="J891" s="507"/>
      <c r="K891" s="507">
        <f t="shared" si="206"/>
        <v>0</v>
      </c>
      <c r="L891" s="521"/>
      <c r="M891" s="521"/>
      <c r="N891" s="521"/>
      <c r="O891" s="521"/>
      <c r="P891" s="521"/>
      <c r="Q891" s="521"/>
      <c r="R891" s="521"/>
      <c r="S891" s="521"/>
      <c r="T891" s="521"/>
      <c r="U891" s="521"/>
      <c r="V891" s="521"/>
      <c r="W891" s="521"/>
      <c r="X891" s="521">
        <f t="shared" si="208"/>
        <v>0</v>
      </c>
      <c r="Y891" s="508"/>
    </row>
    <row r="892" spans="1:25">
      <c r="A892" s="515" t="s">
        <v>1366</v>
      </c>
      <c r="B892" s="516"/>
      <c r="C892" s="516"/>
      <c r="D892" s="516"/>
      <c r="E892" s="538"/>
      <c r="F892" s="515"/>
      <c r="G892" s="546"/>
      <c r="H892" s="538"/>
      <c r="I892" s="520"/>
      <c r="J892" s="507"/>
      <c r="K892" s="507">
        <f t="shared" si="206"/>
        <v>0</v>
      </c>
      <c r="L892" s="521"/>
      <c r="M892" s="521"/>
      <c r="N892" s="521"/>
      <c r="O892" s="521"/>
      <c r="P892" s="521"/>
      <c r="Q892" s="521"/>
      <c r="R892" s="521"/>
      <c r="S892" s="521"/>
      <c r="T892" s="521"/>
      <c r="U892" s="521"/>
      <c r="V892" s="521"/>
      <c r="W892" s="521"/>
      <c r="X892" s="521">
        <f t="shared" si="208"/>
        <v>0</v>
      </c>
      <c r="Y892" s="508"/>
    </row>
    <row r="893" spans="1:25">
      <c r="A893" s="515" t="s">
        <v>1367</v>
      </c>
      <c r="B893" s="516"/>
      <c r="C893" s="516"/>
      <c r="D893" s="516"/>
      <c r="E893" s="538"/>
      <c r="F893" s="515"/>
      <c r="G893" s="546"/>
      <c r="H893" s="538"/>
      <c r="I893" s="520"/>
      <c r="J893" s="507"/>
      <c r="K893" s="507">
        <f t="shared" si="206"/>
        <v>0</v>
      </c>
      <c r="L893" s="521"/>
      <c r="M893" s="521"/>
      <c r="N893" s="521"/>
      <c r="O893" s="521"/>
      <c r="P893" s="521"/>
      <c r="Q893" s="521"/>
      <c r="R893" s="521"/>
      <c r="S893" s="521"/>
      <c r="T893" s="521"/>
      <c r="U893" s="521"/>
      <c r="V893" s="521"/>
      <c r="W893" s="521"/>
      <c r="X893" s="521">
        <f t="shared" si="208"/>
        <v>0</v>
      </c>
      <c r="Y893" s="508"/>
    </row>
    <row r="894" spans="1:25">
      <c r="A894" s="515" t="s">
        <v>1368</v>
      </c>
      <c r="B894" s="516"/>
      <c r="C894" s="516"/>
      <c r="D894" s="516"/>
      <c r="E894" s="538"/>
      <c r="F894" s="515"/>
      <c r="G894" s="546"/>
      <c r="H894" s="538"/>
      <c r="I894" s="520"/>
      <c r="J894" s="507"/>
      <c r="K894" s="507">
        <f t="shared" si="206"/>
        <v>0</v>
      </c>
      <c r="L894" s="521"/>
      <c r="M894" s="521"/>
      <c r="N894" s="521"/>
      <c r="O894" s="521"/>
      <c r="P894" s="521"/>
      <c r="Q894" s="521"/>
      <c r="R894" s="521"/>
      <c r="S894" s="521"/>
      <c r="T894" s="521"/>
      <c r="U894" s="521"/>
      <c r="V894" s="521"/>
      <c r="W894" s="521"/>
      <c r="X894" s="521">
        <f t="shared" si="208"/>
        <v>0</v>
      </c>
      <c r="Y894" s="508"/>
    </row>
    <row r="895" spans="1:25">
      <c r="A895" s="515" t="s">
        <v>1369</v>
      </c>
      <c r="B895" s="516"/>
      <c r="C895" s="516"/>
      <c r="D895" s="516"/>
      <c r="E895" s="538"/>
      <c r="F895" s="515"/>
      <c r="G895" s="546"/>
      <c r="H895" s="538"/>
      <c r="I895" s="520"/>
      <c r="J895" s="507"/>
      <c r="K895" s="507">
        <f t="shared" si="206"/>
        <v>0</v>
      </c>
      <c r="L895" s="521"/>
      <c r="M895" s="521"/>
      <c r="N895" s="521"/>
      <c r="O895" s="521"/>
      <c r="P895" s="521"/>
      <c r="Q895" s="521"/>
      <c r="R895" s="521"/>
      <c r="S895" s="521"/>
      <c r="T895" s="521"/>
      <c r="U895" s="521"/>
      <c r="V895" s="521"/>
      <c r="W895" s="521"/>
      <c r="X895" s="521">
        <f t="shared" si="208"/>
        <v>0</v>
      </c>
      <c r="Y895" s="508"/>
    </row>
    <row r="896" spans="1:25">
      <c r="A896" s="515" t="s">
        <v>1370</v>
      </c>
      <c r="B896" s="516"/>
      <c r="C896" s="516"/>
      <c r="D896" s="516"/>
      <c r="E896" s="538"/>
      <c r="F896" s="515"/>
      <c r="G896" s="546"/>
      <c r="H896" s="538"/>
      <c r="I896" s="520"/>
      <c r="J896" s="507"/>
      <c r="K896" s="507">
        <f t="shared" si="206"/>
        <v>0</v>
      </c>
      <c r="L896" s="521"/>
      <c r="M896" s="521"/>
      <c r="N896" s="521"/>
      <c r="O896" s="521"/>
      <c r="P896" s="521"/>
      <c r="Q896" s="521"/>
      <c r="R896" s="521"/>
      <c r="S896" s="521"/>
      <c r="T896" s="521"/>
      <c r="U896" s="521"/>
      <c r="V896" s="521"/>
      <c r="W896" s="521"/>
      <c r="X896" s="521">
        <f t="shared" si="208"/>
        <v>0</v>
      </c>
      <c r="Y896" s="508"/>
    </row>
    <row r="897" spans="1:25">
      <c r="A897" s="515" t="s">
        <v>1371</v>
      </c>
      <c r="B897" s="516"/>
      <c r="C897" s="516"/>
      <c r="D897" s="516"/>
      <c r="E897" s="538"/>
      <c r="F897" s="515"/>
      <c r="G897" s="546"/>
      <c r="H897" s="538"/>
      <c r="I897" s="520"/>
      <c r="J897" s="507"/>
      <c r="K897" s="507">
        <f t="shared" si="206"/>
        <v>0</v>
      </c>
      <c r="L897" s="521"/>
      <c r="M897" s="521"/>
      <c r="N897" s="521"/>
      <c r="O897" s="521"/>
      <c r="P897" s="521"/>
      <c r="Q897" s="521"/>
      <c r="R897" s="521"/>
      <c r="S897" s="521"/>
      <c r="T897" s="521"/>
      <c r="U897" s="521"/>
      <c r="V897" s="521"/>
      <c r="W897" s="521"/>
      <c r="X897" s="521">
        <f t="shared" si="208"/>
        <v>0</v>
      </c>
      <c r="Y897" s="508"/>
    </row>
    <row r="898" spans="1:25">
      <c r="A898" s="515" t="s">
        <v>1372</v>
      </c>
      <c r="B898" s="516"/>
      <c r="C898" s="516"/>
      <c r="D898" s="516"/>
      <c r="E898" s="538"/>
      <c r="F898" s="515"/>
      <c r="G898" s="546"/>
      <c r="H898" s="538"/>
      <c r="I898" s="520"/>
      <c r="J898" s="507"/>
      <c r="K898" s="507">
        <f t="shared" si="206"/>
        <v>0</v>
      </c>
      <c r="L898" s="521"/>
      <c r="M898" s="521"/>
      <c r="N898" s="521"/>
      <c r="O898" s="521"/>
      <c r="P898" s="521"/>
      <c r="Q898" s="521"/>
      <c r="R898" s="521"/>
      <c r="S898" s="521"/>
      <c r="T898" s="521"/>
      <c r="U898" s="521"/>
      <c r="V898" s="521"/>
      <c r="W898" s="521"/>
      <c r="X898" s="521">
        <f t="shared" si="208"/>
        <v>0</v>
      </c>
      <c r="Y898" s="508"/>
    </row>
    <row r="899" spans="1:25">
      <c r="A899" s="515" t="s">
        <v>1373</v>
      </c>
      <c r="B899" s="516"/>
      <c r="C899" s="516"/>
      <c r="D899" s="516"/>
      <c r="E899" s="538"/>
      <c r="F899" s="515"/>
      <c r="G899" s="546"/>
      <c r="H899" s="538"/>
      <c r="I899" s="520"/>
      <c r="J899" s="507"/>
      <c r="K899" s="507">
        <f t="shared" si="206"/>
        <v>0</v>
      </c>
      <c r="L899" s="521"/>
      <c r="M899" s="521"/>
      <c r="N899" s="521"/>
      <c r="O899" s="521"/>
      <c r="P899" s="521"/>
      <c r="Q899" s="521"/>
      <c r="R899" s="521"/>
      <c r="S899" s="521"/>
      <c r="T899" s="521"/>
      <c r="U899" s="521"/>
      <c r="V899" s="521"/>
      <c r="W899" s="521"/>
      <c r="X899" s="521">
        <f t="shared" si="208"/>
        <v>0</v>
      </c>
      <c r="Y899" s="508"/>
    </row>
    <row r="900" spans="1:25">
      <c r="A900" s="515" t="s">
        <v>1374</v>
      </c>
      <c r="B900" s="516"/>
      <c r="C900" s="516"/>
      <c r="D900" s="516"/>
      <c r="E900" s="538"/>
      <c r="F900" s="515"/>
      <c r="G900" s="546"/>
      <c r="H900" s="538"/>
      <c r="I900" s="520"/>
      <c r="J900" s="507"/>
      <c r="K900" s="507">
        <f t="shared" si="206"/>
        <v>0</v>
      </c>
      <c r="L900" s="521"/>
      <c r="M900" s="521"/>
      <c r="N900" s="521"/>
      <c r="O900" s="521"/>
      <c r="P900" s="521"/>
      <c r="Q900" s="521"/>
      <c r="R900" s="521"/>
      <c r="S900" s="521"/>
      <c r="T900" s="521"/>
      <c r="U900" s="521"/>
      <c r="V900" s="521"/>
      <c r="W900" s="521"/>
      <c r="X900" s="521">
        <f t="shared" si="208"/>
        <v>0</v>
      </c>
      <c r="Y900" s="508"/>
    </row>
    <row r="901" spans="1:25">
      <c r="A901" s="515" t="s">
        <v>1375</v>
      </c>
      <c r="B901" s="516"/>
      <c r="C901" s="516"/>
      <c r="D901" s="516"/>
      <c r="E901" s="538"/>
      <c r="F901" s="515"/>
      <c r="G901" s="546"/>
      <c r="H901" s="538"/>
      <c r="I901" s="520"/>
      <c r="J901" s="507"/>
      <c r="K901" s="507">
        <f t="shared" si="206"/>
        <v>0</v>
      </c>
      <c r="L901" s="521"/>
      <c r="M901" s="521"/>
      <c r="N901" s="521"/>
      <c r="O901" s="521"/>
      <c r="P901" s="521"/>
      <c r="Q901" s="521"/>
      <c r="R901" s="521"/>
      <c r="S901" s="521"/>
      <c r="T901" s="521"/>
      <c r="U901" s="521"/>
      <c r="V901" s="521"/>
      <c r="W901" s="521"/>
      <c r="X901" s="521">
        <f t="shared" si="208"/>
        <v>0</v>
      </c>
      <c r="Y901" s="508"/>
    </row>
    <row r="902" spans="1:25">
      <c r="A902" s="515" t="s">
        <v>1376</v>
      </c>
      <c r="B902" s="516"/>
      <c r="C902" s="516"/>
      <c r="D902" s="516"/>
      <c r="E902" s="538"/>
      <c r="F902" s="515"/>
      <c r="G902" s="546"/>
      <c r="H902" s="538"/>
      <c r="I902" s="520"/>
      <c r="J902" s="507"/>
      <c r="K902" s="507">
        <f t="shared" si="206"/>
        <v>0</v>
      </c>
      <c r="L902" s="521"/>
      <c r="M902" s="521"/>
      <c r="N902" s="521"/>
      <c r="O902" s="521"/>
      <c r="P902" s="521"/>
      <c r="Q902" s="521"/>
      <c r="R902" s="521"/>
      <c r="S902" s="521"/>
      <c r="T902" s="521"/>
      <c r="U902" s="521"/>
      <c r="V902" s="521"/>
      <c r="W902" s="521"/>
      <c r="X902" s="521">
        <f t="shared" si="208"/>
        <v>0</v>
      </c>
      <c r="Y902" s="508"/>
    </row>
    <row r="903" spans="1:25" ht="60">
      <c r="A903" s="515" t="s">
        <v>1377</v>
      </c>
      <c r="B903" s="516" t="s">
        <v>1378</v>
      </c>
      <c r="C903" s="538" t="s">
        <v>1256</v>
      </c>
      <c r="D903" s="516" t="s">
        <v>1379</v>
      </c>
      <c r="E903" s="538">
        <v>25992</v>
      </c>
      <c r="F903" s="515" t="s">
        <v>1341</v>
      </c>
      <c r="G903" s="546"/>
      <c r="H903" s="538"/>
      <c r="I903" s="520" t="s">
        <v>1342</v>
      </c>
      <c r="J903" s="507">
        <f>K903/12</f>
        <v>612.5</v>
      </c>
      <c r="K903" s="507">
        <v>7350</v>
      </c>
      <c r="L903" s="521">
        <f>7350/12</f>
        <v>612.5</v>
      </c>
      <c r="M903" s="521">
        <v>612.5</v>
      </c>
      <c r="N903" s="521">
        <v>612.5</v>
      </c>
      <c r="O903" s="521">
        <v>612.5</v>
      </c>
      <c r="P903" s="521">
        <v>612.5</v>
      </c>
      <c r="Q903" s="521">
        <f>612.5/30*15</f>
        <v>306.25</v>
      </c>
      <c r="R903" s="521" t="s">
        <v>334</v>
      </c>
      <c r="S903" s="521" t="s">
        <v>334</v>
      </c>
      <c r="T903" s="521" t="s">
        <v>334</v>
      </c>
      <c r="U903" s="521" t="s">
        <v>334</v>
      </c>
      <c r="V903" s="521" t="s">
        <v>334</v>
      </c>
      <c r="W903" s="521" t="s">
        <v>334</v>
      </c>
      <c r="X903" s="521">
        <f t="shared" si="208"/>
        <v>3368.75</v>
      </c>
      <c r="Y903" s="508"/>
    </row>
    <row r="904" spans="1:25" ht="60">
      <c r="A904" s="515" t="s">
        <v>1380</v>
      </c>
      <c r="B904" s="516" t="s">
        <v>1378</v>
      </c>
      <c r="C904" s="538" t="s">
        <v>1256</v>
      </c>
      <c r="D904" s="516" t="s">
        <v>1379</v>
      </c>
      <c r="E904" s="538">
        <v>25992</v>
      </c>
      <c r="F904" s="515" t="s">
        <v>1341</v>
      </c>
      <c r="G904" s="569" t="s">
        <v>1381</v>
      </c>
      <c r="H904" s="538"/>
      <c r="I904" s="520" t="s">
        <v>1342</v>
      </c>
      <c r="J904" s="507">
        <f>K904/12</f>
        <v>673.75000000000011</v>
      </c>
      <c r="K904" s="507">
        <f>K903*1.1</f>
        <v>8085.0000000000009</v>
      </c>
      <c r="L904" s="521" t="s">
        <v>334</v>
      </c>
      <c r="M904" s="521" t="s">
        <v>334</v>
      </c>
      <c r="N904" s="521" t="s">
        <v>334</v>
      </c>
      <c r="O904" s="521" t="s">
        <v>334</v>
      </c>
      <c r="P904" s="521" t="s">
        <v>334</v>
      </c>
      <c r="Q904" s="521">
        <f>612.5*1.1/30*15</f>
        <v>336.875</v>
      </c>
      <c r="R904" s="521">
        <f>P903*1.1</f>
        <v>673.75</v>
      </c>
      <c r="S904" s="521">
        <f>R904</f>
        <v>673.75</v>
      </c>
      <c r="T904" s="521">
        <f>S904</f>
        <v>673.75</v>
      </c>
      <c r="U904" s="521">
        <f>T904</f>
        <v>673.75</v>
      </c>
      <c r="V904" s="521">
        <f>U904</f>
        <v>673.75</v>
      </c>
      <c r="W904" s="521">
        <f>V904</f>
        <v>673.75</v>
      </c>
      <c r="X904" s="521">
        <f t="shared" si="208"/>
        <v>4379.375</v>
      </c>
      <c r="Y904" s="508"/>
    </row>
    <row r="905" spans="1:25">
      <c r="A905" s="515" t="s">
        <v>1382</v>
      </c>
      <c r="B905" s="516"/>
      <c r="C905" s="516"/>
      <c r="D905" s="516"/>
      <c r="E905" s="538"/>
      <c r="F905" s="515"/>
      <c r="G905" s="546"/>
      <c r="H905" s="538"/>
      <c r="I905" s="520"/>
      <c r="J905" s="507"/>
      <c r="K905" s="507">
        <f t="shared" ref="K905:K910" si="209">H905*J905</f>
        <v>0</v>
      </c>
      <c r="L905" s="521"/>
      <c r="M905" s="521"/>
      <c r="N905" s="521"/>
      <c r="O905" s="521"/>
      <c r="P905" s="521"/>
      <c r="Q905" s="521"/>
      <c r="R905" s="521"/>
      <c r="S905" s="521"/>
      <c r="T905" s="521"/>
      <c r="U905" s="521"/>
      <c r="V905" s="521"/>
      <c r="W905" s="521"/>
      <c r="X905" s="521">
        <f t="shared" si="208"/>
        <v>0</v>
      </c>
      <c r="Y905" s="508"/>
    </row>
    <row r="906" spans="1:25">
      <c r="A906" s="515" t="s">
        <v>1383</v>
      </c>
      <c r="B906" s="516"/>
      <c r="C906" s="516"/>
      <c r="D906" s="516"/>
      <c r="E906" s="538"/>
      <c r="F906" s="515"/>
      <c r="G906" s="546"/>
      <c r="H906" s="538"/>
      <c r="I906" s="520"/>
      <c r="J906" s="507"/>
      <c r="K906" s="507">
        <f t="shared" si="209"/>
        <v>0</v>
      </c>
      <c r="L906" s="521"/>
      <c r="M906" s="521"/>
      <c r="N906" s="521"/>
      <c r="O906" s="521"/>
      <c r="P906" s="521"/>
      <c r="Q906" s="521"/>
      <c r="R906" s="521"/>
      <c r="S906" s="521"/>
      <c r="T906" s="521"/>
      <c r="U906" s="521"/>
      <c r="V906" s="521"/>
      <c r="W906" s="521"/>
      <c r="X906" s="521">
        <f t="shared" si="208"/>
        <v>0</v>
      </c>
      <c r="Y906" s="508"/>
    </row>
    <row r="907" spans="1:25">
      <c r="A907" s="515" t="s">
        <v>1384</v>
      </c>
      <c r="B907" s="516"/>
      <c r="C907" s="516"/>
      <c r="D907" s="516"/>
      <c r="E907" s="538"/>
      <c r="F907" s="515"/>
      <c r="G907" s="546"/>
      <c r="H907" s="538"/>
      <c r="I907" s="520"/>
      <c r="J907" s="507"/>
      <c r="K907" s="507">
        <f t="shared" si="209"/>
        <v>0</v>
      </c>
      <c r="L907" s="521"/>
      <c r="M907" s="521"/>
      <c r="N907" s="521"/>
      <c r="O907" s="521"/>
      <c r="P907" s="521"/>
      <c r="Q907" s="521"/>
      <c r="R907" s="521"/>
      <c r="S907" s="521"/>
      <c r="T907" s="521"/>
      <c r="U907" s="521"/>
      <c r="V907" s="521"/>
      <c r="W907" s="521"/>
      <c r="X907" s="521">
        <f t="shared" si="208"/>
        <v>0</v>
      </c>
      <c r="Y907" s="508"/>
    </row>
    <row r="908" spans="1:25">
      <c r="A908" s="515" t="s">
        <v>1385</v>
      </c>
      <c r="B908" s="516"/>
      <c r="C908" s="516"/>
      <c r="D908" s="516"/>
      <c r="E908" s="538"/>
      <c r="F908" s="515"/>
      <c r="G908" s="546"/>
      <c r="H908" s="538"/>
      <c r="I908" s="520"/>
      <c r="J908" s="507"/>
      <c r="K908" s="507">
        <f t="shared" si="209"/>
        <v>0</v>
      </c>
      <c r="L908" s="521"/>
      <c r="M908" s="521"/>
      <c r="N908" s="521"/>
      <c r="O908" s="521"/>
      <c r="P908" s="521"/>
      <c r="Q908" s="521"/>
      <c r="R908" s="521"/>
      <c r="S908" s="521"/>
      <c r="T908" s="521"/>
      <c r="U908" s="521"/>
      <c r="V908" s="521"/>
      <c r="W908" s="521"/>
      <c r="X908" s="521">
        <f t="shared" si="208"/>
        <v>0</v>
      </c>
      <c r="Y908" s="508"/>
    </row>
    <row r="909" spans="1:25">
      <c r="A909" s="515" t="s">
        <v>1282</v>
      </c>
      <c r="B909" s="516"/>
      <c r="C909" s="516"/>
      <c r="D909" s="516"/>
      <c r="E909" s="538"/>
      <c r="F909" s="515"/>
      <c r="G909" s="546"/>
      <c r="H909" s="538"/>
      <c r="I909" s="520"/>
      <c r="J909" s="507"/>
      <c r="K909" s="507">
        <f t="shared" si="209"/>
        <v>0</v>
      </c>
      <c r="L909" s="521"/>
      <c r="M909" s="521"/>
      <c r="N909" s="521"/>
      <c r="O909" s="521"/>
      <c r="P909" s="521"/>
      <c r="Q909" s="521"/>
      <c r="R909" s="521"/>
      <c r="S909" s="521"/>
      <c r="T909" s="521"/>
      <c r="U909" s="521"/>
      <c r="V909" s="521"/>
      <c r="W909" s="521"/>
      <c r="X909" s="521">
        <f t="shared" si="208"/>
        <v>0</v>
      </c>
      <c r="Y909" s="508"/>
    </row>
    <row r="910" spans="1:25">
      <c r="A910" s="509" t="s">
        <v>1386</v>
      </c>
      <c r="B910" s="510"/>
      <c r="C910" s="510"/>
      <c r="D910" s="510"/>
      <c r="E910" s="551"/>
      <c r="F910" s="509"/>
      <c r="G910" s="552"/>
      <c r="H910" s="551"/>
      <c r="I910" s="514"/>
      <c r="J910" s="507"/>
      <c r="K910" s="507">
        <f t="shared" si="209"/>
        <v>0</v>
      </c>
      <c r="L910" s="497">
        <f t="shared" ref="L910:X910" si="210">SUM(L911:L919)</f>
        <v>128</v>
      </c>
      <c r="M910" s="497">
        <f t="shared" si="210"/>
        <v>128</v>
      </c>
      <c r="N910" s="497">
        <f t="shared" si="210"/>
        <v>55000.000000000007</v>
      </c>
      <c r="O910" s="497">
        <f t="shared" si="210"/>
        <v>22143.989999999998</v>
      </c>
      <c r="P910" s="497">
        <f t="shared" si="210"/>
        <v>0</v>
      </c>
      <c r="Q910" s="497">
        <f t="shared" si="210"/>
        <v>0</v>
      </c>
      <c r="R910" s="497">
        <f t="shared" si="210"/>
        <v>0</v>
      </c>
      <c r="S910" s="497">
        <f t="shared" si="210"/>
        <v>0</v>
      </c>
      <c r="T910" s="497">
        <f t="shared" si="210"/>
        <v>0</v>
      </c>
      <c r="U910" s="497">
        <f t="shared" si="210"/>
        <v>0</v>
      </c>
      <c r="V910" s="497">
        <f t="shared" si="210"/>
        <v>0</v>
      </c>
      <c r="W910" s="497">
        <f t="shared" si="210"/>
        <v>0</v>
      </c>
      <c r="X910" s="497">
        <f t="shared" si="210"/>
        <v>77399.990000000005</v>
      </c>
      <c r="Y910" s="508"/>
    </row>
    <row r="911" spans="1:25" ht="45">
      <c r="A911" s="515" t="s">
        <v>1387</v>
      </c>
      <c r="B911" s="516" t="s">
        <v>1388</v>
      </c>
      <c r="C911" s="538" t="s">
        <v>1256</v>
      </c>
      <c r="D911" s="516" t="s">
        <v>1389</v>
      </c>
      <c r="E911" s="538">
        <v>13404</v>
      </c>
      <c r="F911" s="515" t="s">
        <v>1390</v>
      </c>
      <c r="G911" s="546"/>
      <c r="H911" s="538"/>
      <c r="I911" s="520"/>
      <c r="J911" s="507"/>
      <c r="K911" s="507">
        <v>3368.7500000000005</v>
      </c>
      <c r="L911" s="521"/>
      <c r="M911" s="521"/>
      <c r="N911" s="521"/>
      <c r="O911" s="507">
        <v>15343.99</v>
      </c>
      <c r="P911" s="521"/>
      <c r="Q911" s="521"/>
      <c r="R911" s="521"/>
      <c r="S911" s="521"/>
      <c r="T911" s="521"/>
      <c r="U911" s="521"/>
      <c r="V911" s="521"/>
      <c r="W911" s="521"/>
      <c r="X911" s="521">
        <f>SUM(L911:W911)</f>
        <v>15343.99</v>
      </c>
      <c r="Y911" s="508"/>
    </row>
    <row r="912" spans="1:25" ht="45">
      <c r="A912" s="515" t="s">
        <v>1391</v>
      </c>
      <c r="B912" s="516"/>
      <c r="C912" s="538" t="s">
        <v>1256</v>
      </c>
      <c r="D912" s="516" t="s">
        <v>1389</v>
      </c>
      <c r="E912" s="538">
        <v>13404</v>
      </c>
      <c r="F912" s="515" t="s">
        <v>1390</v>
      </c>
      <c r="G912" s="546"/>
      <c r="H912" s="538"/>
      <c r="I912" s="520"/>
      <c r="J912" s="507"/>
      <c r="K912" s="507">
        <v>8290.24</v>
      </c>
      <c r="L912" s="521"/>
      <c r="M912" s="521"/>
      <c r="N912" s="521"/>
      <c r="O912" s="507"/>
      <c r="P912" s="521"/>
      <c r="Q912" s="521"/>
      <c r="R912" s="521"/>
      <c r="S912" s="521"/>
      <c r="T912" s="521"/>
      <c r="U912" s="521"/>
      <c r="V912" s="521"/>
      <c r="W912" s="521"/>
      <c r="X912" s="521"/>
      <c r="Y912" s="508"/>
    </row>
    <row r="913" spans="1:25" ht="45">
      <c r="A913" s="515" t="s">
        <v>1392</v>
      </c>
      <c r="B913" s="516"/>
      <c r="C913" s="538" t="s">
        <v>1256</v>
      </c>
      <c r="D913" s="516" t="s">
        <v>1389</v>
      </c>
      <c r="E913" s="538">
        <v>13404</v>
      </c>
      <c r="F913" s="515" t="s">
        <v>1390</v>
      </c>
      <c r="G913" s="546"/>
      <c r="H913" s="538"/>
      <c r="I913" s="520"/>
      <c r="J913" s="507"/>
      <c r="K913" s="507">
        <v>3685.0000000000005</v>
      </c>
      <c r="L913" s="521"/>
      <c r="M913" s="521"/>
      <c r="N913" s="521"/>
      <c r="O913" s="507"/>
      <c r="P913" s="521"/>
      <c r="Q913" s="521"/>
      <c r="R913" s="521"/>
      <c r="S913" s="521"/>
      <c r="T913" s="521"/>
      <c r="U913" s="521"/>
      <c r="V913" s="521"/>
      <c r="W913" s="521"/>
      <c r="X913" s="521"/>
      <c r="Y913" s="508"/>
    </row>
    <row r="914" spans="1:25" ht="240">
      <c r="A914" s="515" t="s">
        <v>1393</v>
      </c>
      <c r="B914" s="515" t="s">
        <v>1393</v>
      </c>
      <c r="C914" s="538" t="s">
        <v>1256</v>
      </c>
      <c r="D914" s="516" t="s">
        <v>1345</v>
      </c>
      <c r="E914" s="538">
        <v>3840</v>
      </c>
      <c r="F914" s="515" t="str">
        <f>VLOOKUP(E914,'[2]CATSERV treinamentos'!$A$2:$B$64,2)</f>
        <v>Treinamento Informática - Sistema / Software</v>
      </c>
      <c r="G914" s="546" t="s">
        <v>1347</v>
      </c>
      <c r="H914" s="538">
        <v>1</v>
      </c>
      <c r="I914" s="520"/>
      <c r="J914" s="507">
        <f>50000*1.1</f>
        <v>55000.000000000007</v>
      </c>
      <c r="K914" s="507">
        <f>50000*1.1</f>
        <v>55000.000000000007</v>
      </c>
      <c r="L914" s="521"/>
      <c r="M914" s="521"/>
      <c r="N914" s="521">
        <f>K914</f>
        <v>55000.000000000007</v>
      </c>
      <c r="O914" s="521"/>
      <c r="P914" s="521"/>
      <c r="Q914" s="521"/>
      <c r="R914" s="521"/>
      <c r="S914" s="521"/>
      <c r="T914" s="521"/>
      <c r="U914" s="521"/>
      <c r="V914" s="521"/>
      <c r="W914" s="521"/>
      <c r="X914" s="521">
        <f>SUM(M914:W914)</f>
        <v>55000.000000000007</v>
      </c>
      <c r="Y914" s="508"/>
    </row>
    <row r="915" spans="1:25">
      <c r="A915" s="515" t="s">
        <v>1394</v>
      </c>
      <c r="B915" s="516"/>
      <c r="C915" s="516"/>
      <c r="D915" s="570"/>
      <c r="E915" s="538"/>
      <c r="F915" s="515"/>
      <c r="G915" s="571"/>
      <c r="H915" s="538"/>
      <c r="I915" s="520"/>
      <c r="J915" s="507"/>
      <c r="K915" s="507">
        <f>K916+K917+K918</f>
        <v>10040</v>
      </c>
      <c r="L915" s="521"/>
      <c r="M915" s="521"/>
      <c r="N915" s="521"/>
      <c r="O915" s="521"/>
      <c r="P915" s="521"/>
      <c r="Q915" s="521"/>
      <c r="R915" s="521"/>
      <c r="S915" s="521"/>
      <c r="T915" s="521"/>
      <c r="U915" s="521"/>
      <c r="V915" s="521"/>
      <c r="W915" s="521"/>
      <c r="X915" s="521">
        <f t="shared" ref="X915:X923" si="211">SUM(L915:W915)</f>
        <v>0</v>
      </c>
      <c r="Y915" s="508"/>
    </row>
    <row r="916" spans="1:25" ht="165">
      <c r="A916" s="572" t="s">
        <v>1394</v>
      </c>
      <c r="B916" s="573" t="s">
        <v>1395</v>
      </c>
      <c r="C916" s="526" t="s">
        <v>1256</v>
      </c>
      <c r="D916" s="531" t="s">
        <v>1257</v>
      </c>
      <c r="E916" s="574">
        <v>3808</v>
      </c>
      <c r="F916" s="575" t="s">
        <v>1396</v>
      </c>
      <c r="G916" s="576"/>
      <c r="H916" s="527">
        <v>1</v>
      </c>
      <c r="I916" s="528"/>
      <c r="J916" s="507">
        <v>2600</v>
      </c>
      <c r="K916" s="507">
        <f t="shared" ref="K916:K942" si="212">H916*J916</f>
        <v>2600</v>
      </c>
      <c r="L916" s="521">
        <v>0</v>
      </c>
      <c r="M916" s="521">
        <v>0</v>
      </c>
      <c r="N916" s="521">
        <v>0</v>
      </c>
      <c r="O916" s="521">
        <v>0</v>
      </c>
      <c r="P916" s="521">
        <v>0</v>
      </c>
      <c r="Q916" s="521" t="s">
        <v>334</v>
      </c>
      <c r="R916" s="521" t="s">
        <v>334</v>
      </c>
      <c r="S916" s="521" t="s">
        <v>334</v>
      </c>
      <c r="T916" s="521" t="s">
        <v>334</v>
      </c>
      <c r="U916" s="521" t="s">
        <v>334</v>
      </c>
      <c r="V916" s="521" t="s">
        <v>334</v>
      </c>
      <c r="W916" s="521" t="s">
        <v>334</v>
      </c>
      <c r="X916" s="521">
        <f t="shared" si="211"/>
        <v>0</v>
      </c>
      <c r="Y916" s="508"/>
    </row>
    <row r="917" spans="1:25" ht="315">
      <c r="A917" s="572" t="s">
        <v>1394</v>
      </c>
      <c r="B917" s="573" t="s">
        <v>1397</v>
      </c>
      <c r="C917" s="526" t="s">
        <v>1256</v>
      </c>
      <c r="D917" s="531" t="s">
        <v>1257</v>
      </c>
      <c r="E917" s="577">
        <v>20656</v>
      </c>
      <c r="F917" s="578" t="s">
        <v>1398</v>
      </c>
      <c r="G917" s="579"/>
      <c r="H917" s="580">
        <v>1</v>
      </c>
      <c r="I917" s="528"/>
      <c r="J917" s="507">
        <v>6800</v>
      </c>
      <c r="K917" s="507">
        <f t="shared" si="212"/>
        <v>6800</v>
      </c>
      <c r="L917" s="521">
        <v>0</v>
      </c>
      <c r="M917" s="521">
        <v>0</v>
      </c>
      <c r="N917" s="521">
        <v>0</v>
      </c>
      <c r="O917" s="521">
        <v>6800</v>
      </c>
      <c r="P917" s="521">
        <v>0</v>
      </c>
      <c r="Q917" s="521" t="s">
        <v>334</v>
      </c>
      <c r="R917" s="521" t="s">
        <v>334</v>
      </c>
      <c r="S917" s="521" t="s">
        <v>334</v>
      </c>
      <c r="T917" s="521" t="s">
        <v>334</v>
      </c>
      <c r="U917" s="521" t="s">
        <v>334</v>
      </c>
      <c r="V917" s="521" t="s">
        <v>334</v>
      </c>
      <c r="W917" s="521" t="s">
        <v>334</v>
      </c>
      <c r="X917" s="521">
        <f t="shared" si="211"/>
        <v>6800</v>
      </c>
      <c r="Y917" s="508"/>
    </row>
    <row r="918" spans="1:25" ht="315">
      <c r="A918" s="572" t="s">
        <v>1394</v>
      </c>
      <c r="B918" s="570" t="s">
        <v>1399</v>
      </c>
      <c r="C918" s="526" t="s">
        <v>1352</v>
      </c>
      <c r="D918" s="531" t="s">
        <v>1257</v>
      </c>
      <c r="E918" s="577">
        <v>20656</v>
      </c>
      <c r="F918" s="578" t="s">
        <v>1398</v>
      </c>
      <c r="G918" s="581"/>
      <c r="H918" s="580">
        <v>5</v>
      </c>
      <c r="I918" s="528"/>
      <c r="J918" s="507">
        <v>128</v>
      </c>
      <c r="K918" s="507">
        <f t="shared" si="212"/>
        <v>640</v>
      </c>
      <c r="L918" s="521">
        <f>J918</f>
        <v>128</v>
      </c>
      <c r="M918" s="521">
        <f>J918</f>
        <v>128</v>
      </c>
      <c r="N918" s="521">
        <v>0</v>
      </c>
      <c r="O918" s="521">
        <v>0</v>
      </c>
      <c r="P918" s="521">
        <v>0</v>
      </c>
      <c r="Q918" s="521" t="s">
        <v>334</v>
      </c>
      <c r="R918" s="521" t="s">
        <v>334</v>
      </c>
      <c r="S918" s="521" t="s">
        <v>334</v>
      </c>
      <c r="T918" s="521" t="s">
        <v>334</v>
      </c>
      <c r="U918" s="521" t="s">
        <v>334</v>
      </c>
      <c r="V918" s="521" t="s">
        <v>334</v>
      </c>
      <c r="W918" s="521" t="s">
        <v>334</v>
      </c>
      <c r="X918" s="521">
        <f t="shared" si="211"/>
        <v>256</v>
      </c>
      <c r="Y918" s="508"/>
    </row>
    <row r="919" spans="1:25">
      <c r="A919" s="515" t="s">
        <v>1264</v>
      </c>
      <c r="B919" s="516"/>
      <c r="C919" s="516"/>
      <c r="D919" s="582"/>
      <c r="E919" s="538"/>
      <c r="F919" s="515"/>
      <c r="G919" s="546"/>
      <c r="H919" s="538"/>
      <c r="I919" s="520"/>
      <c r="J919" s="507"/>
      <c r="K919" s="507">
        <f t="shared" si="212"/>
        <v>0</v>
      </c>
      <c r="L919" s="521"/>
      <c r="M919" s="521"/>
      <c r="N919" s="521"/>
      <c r="O919" s="521"/>
      <c r="P919" s="521"/>
      <c r="Q919" s="521"/>
      <c r="R919" s="521"/>
      <c r="S919" s="521"/>
      <c r="T919" s="521"/>
      <c r="U919" s="521"/>
      <c r="V919" s="521"/>
      <c r="W919" s="521"/>
      <c r="X919" s="521">
        <f t="shared" si="211"/>
        <v>0</v>
      </c>
      <c r="Y919" s="508"/>
    </row>
    <row r="920" spans="1:25" ht="60">
      <c r="A920" s="515" t="s">
        <v>1264</v>
      </c>
      <c r="B920" s="537" t="s">
        <v>1400</v>
      </c>
      <c r="C920" s="538" t="s">
        <v>1267</v>
      </c>
      <c r="D920" s="516"/>
      <c r="E920" s="574">
        <v>3808</v>
      </c>
      <c r="F920" s="578" t="s">
        <v>1396</v>
      </c>
      <c r="G920" s="546"/>
      <c r="H920" s="538">
        <v>6</v>
      </c>
      <c r="I920" s="520"/>
      <c r="J920" s="507">
        <f>J916/4*1.1</f>
        <v>715.00000000000011</v>
      </c>
      <c r="K920" s="507">
        <f t="shared" si="212"/>
        <v>4290.0000000000009</v>
      </c>
      <c r="L920" s="521" t="s">
        <v>334</v>
      </c>
      <c r="M920" s="521" t="s">
        <v>334</v>
      </c>
      <c r="N920" s="521" t="s">
        <v>334</v>
      </c>
      <c r="O920" s="521" t="s">
        <v>334</v>
      </c>
      <c r="P920" s="521" t="s">
        <v>334</v>
      </c>
      <c r="Q920" s="521">
        <v>0</v>
      </c>
      <c r="R920" s="521">
        <f>J920*H920</f>
        <v>4290.0000000000009</v>
      </c>
      <c r="S920" s="521">
        <v>0</v>
      </c>
      <c r="T920" s="521">
        <v>0</v>
      </c>
      <c r="U920" s="521">
        <v>0</v>
      </c>
      <c r="V920" s="521">
        <v>0</v>
      </c>
      <c r="W920" s="521">
        <v>0</v>
      </c>
      <c r="X920" s="521">
        <f t="shared" si="211"/>
        <v>4290.0000000000009</v>
      </c>
      <c r="Y920" s="508"/>
    </row>
    <row r="921" spans="1:25" ht="60">
      <c r="A921" s="515" t="s">
        <v>1264</v>
      </c>
      <c r="B921" s="537" t="s">
        <v>1400</v>
      </c>
      <c r="C921" s="538" t="s">
        <v>1268</v>
      </c>
      <c r="D921" s="516"/>
      <c r="E921" s="574">
        <v>3808</v>
      </c>
      <c r="F921" s="578" t="s">
        <v>1396</v>
      </c>
      <c r="G921" s="546"/>
      <c r="H921" s="538">
        <v>2</v>
      </c>
      <c r="I921" s="520"/>
      <c r="J921" s="507">
        <f>K916/4*1.1</f>
        <v>715.00000000000011</v>
      </c>
      <c r="K921" s="507">
        <f t="shared" si="212"/>
        <v>1430.0000000000002</v>
      </c>
      <c r="L921" s="521" t="s">
        <v>334</v>
      </c>
      <c r="M921" s="521" t="s">
        <v>334</v>
      </c>
      <c r="N921" s="521" t="s">
        <v>334</v>
      </c>
      <c r="O921" s="521" t="s">
        <v>334</v>
      </c>
      <c r="P921" s="521" t="s">
        <v>334</v>
      </c>
      <c r="Q921" s="521">
        <v>0</v>
      </c>
      <c r="R921" s="521">
        <f>J921*H921</f>
        <v>1430.0000000000002</v>
      </c>
      <c r="S921" s="521">
        <v>0</v>
      </c>
      <c r="T921" s="521">
        <v>0</v>
      </c>
      <c r="U921" s="521">
        <v>0</v>
      </c>
      <c r="V921" s="521">
        <v>0</v>
      </c>
      <c r="W921" s="521">
        <v>0</v>
      </c>
      <c r="X921" s="521">
        <f t="shared" si="211"/>
        <v>1430.0000000000002</v>
      </c>
      <c r="Y921" s="508"/>
    </row>
    <row r="922" spans="1:25" ht="60">
      <c r="A922" s="515" t="s">
        <v>1264</v>
      </c>
      <c r="B922" s="537" t="s">
        <v>1400</v>
      </c>
      <c r="C922" s="538" t="s">
        <v>1269</v>
      </c>
      <c r="D922" s="516"/>
      <c r="E922" s="574">
        <v>3808</v>
      </c>
      <c r="F922" s="578" t="s">
        <v>1396</v>
      </c>
      <c r="G922" s="546"/>
      <c r="H922" s="538">
        <v>2</v>
      </c>
      <c r="I922" s="520"/>
      <c r="J922" s="507">
        <f>J921</f>
        <v>715.00000000000011</v>
      </c>
      <c r="K922" s="507">
        <f t="shared" si="212"/>
        <v>1430.0000000000002</v>
      </c>
      <c r="L922" s="521" t="s">
        <v>334</v>
      </c>
      <c r="M922" s="521" t="s">
        <v>334</v>
      </c>
      <c r="N922" s="521" t="s">
        <v>334</v>
      </c>
      <c r="O922" s="521" t="s">
        <v>334</v>
      </c>
      <c r="P922" s="521" t="s">
        <v>334</v>
      </c>
      <c r="Q922" s="521">
        <v>0</v>
      </c>
      <c r="R922" s="521">
        <f>J922*H922</f>
        <v>1430.0000000000002</v>
      </c>
      <c r="S922" s="521">
        <v>0</v>
      </c>
      <c r="T922" s="521">
        <v>0</v>
      </c>
      <c r="U922" s="521">
        <v>0</v>
      </c>
      <c r="V922" s="521">
        <v>0</v>
      </c>
      <c r="W922" s="521">
        <v>0</v>
      </c>
      <c r="X922" s="521">
        <f t="shared" si="211"/>
        <v>1430.0000000000002</v>
      </c>
      <c r="Y922" s="508"/>
    </row>
    <row r="923" spans="1:25" ht="225">
      <c r="A923" s="515" t="s">
        <v>1264</v>
      </c>
      <c r="B923" s="531" t="s">
        <v>1401</v>
      </c>
      <c r="C923" s="519" t="s">
        <v>1256</v>
      </c>
      <c r="D923" s="516"/>
      <c r="E923" s="577">
        <v>20656</v>
      </c>
      <c r="F923" s="578" t="s">
        <v>1398</v>
      </c>
      <c r="G923" s="546"/>
      <c r="H923" s="538">
        <v>10</v>
      </c>
      <c r="I923" s="520"/>
      <c r="J923" s="507">
        <f>128*1.1</f>
        <v>140.80000000000001</v>
      </c>
      <c r="K923" s="507">
        <f t="shared" si="212"/>
        <v>1408</v>
      </c>
      <c r="L923" s="521" t="s">
        <v>334</v>
      </c>
      <c r="M923" s="521" t="s">
        <v>334</v>
      </c>
      <c r="N923" s="521" t="s">
        <v>334</v>
      </c>
      <c r="O923" s="521" t="s">
        <v>334</v>
      </c>
      <c r="P923" s="521" t="s">
        <v>334</v>
      </c>
      <c r="Q923" s="521">
        <f t="shared" ref="Q923:V923" si="213">$J$923</f>
        <v>140.80000000000001</v>
      </c>
      <c r="R923" s="521">
        <f t="shared" si="213"/>
        <v>140.80000000000001</v>
      </c>
      <c r="S923" s="521">
        <f t="shared" si="213"/>
        <v>140.80000000000001</v>
      </c>
      <c r="T923" s="521">
        <f t="shared" si="213"/>
        <v>140.80000000000001</v>
      </c>
      <c r="U923" s="521">
        <f t="shared" si="213"/>
        <v>140.80000000000001</v>
      </c>
      <c r="V923" s="521">
        <f t="shared" si="213"/>
        <v>140.80000000000001</v>
      </c>
      <c r="W923" s="521">
        <v>0</v>
      </c>
      <c r="X923" s="521">
        <f t="shared" si="211"/>
        <v>844.8</v>
      </c>
      <c r="Y923" s="508"/>
    </row>
    <row r="924" spans="1:25">
      <c r="A924" s="509" t="s">
        <v>1402</v>
      </c>
      <c r="B924" s="510"/>
      <c r="C924" s="510"/>
      <c r="D924" s="510"/>
      <c r="E924" s="551"/>
      <c r="F924" s="509"/>
      <c r="G924" s="552"/>
      <c r="H924" s="551"/>
      <c r="I924" s="514"/>
      <c r="J924" s="507"/>
      <c r="K924" s="507">
        <f t="shared" si="212"/>
        <v>0</v>
      </c>
      <c r="L924" s="497">
        <f t="shared" ref="L924:X924" si="214">L925</f>
        <v>0</v>
      </c>
      <c r="M924" s="497">
        <f t="shared" si="214"/>
        <v>0</v>
      </c>
      <c r="N924" s="497">
        <f t="shared" si="214"/>
        <v>0</v>
      </c>
      <c r="O924" s="497">
        <f t="shared" si="214"/>
        <v>0</v>
      </c>
      <c r="P924" s="497">
        <f t="shared" si="214"/>
        <v>0</v>
      </c>
      <c r="Q924" s="497">
        <f t="shared" si="214"/>
        <v>0</v>
      </c>
      <c r="R924" s="497">
        <f t="shared" si="214"/>
        <v>0</v>
      </c>
      <c r="S924" s="497">
        <f t="shared" si="214"/>
        <v>0</v>
      </c>
      <c r="T924" s="497">
        <f t="shared" si="214"/>
        <v>0</v>
      </c>
      <c r="U924" s="497">
        <f t="shared" si="214"/>
        <v>0</v>
      </c>
      <c r="V924" s="497">
        <f t="shared" si="214"/>
        <v>0</v>
      </c>
      <c r="W924" s="497">
        <f t="shared" si="214"/>
        <v>0</v>
      </c>
      <c r="X924" s="497">
        <f t="shared" si="214"/>
        <v>0</v>
      </c>
      <c r="Y924" s="508"/>
    </row>
    <row r="925" spans="1:25">
      <c r="A925" s="583" t="s">
        <v>1044</v>
      </c>
      <c r="B925" s="584"/>
      <c r="C925" s="584"/>
      <c r="D925" s="584"/>
      <c r="E925" s="585"/>
      <c r="F925" s="583"/>
      <c r="G925" s="586"/>
      <c r="H925" s="585"/>
      <c r="I925" s="587"/>
      <c r="J925" s="507"/>
      <c r="K925" s="507">
        <f t="shared" si="212"/>
        <v>0</v>
      </c>
      <c r="L925" s="521"/>
      <c r="M925" s="588"/>
      <c r="N925" s="588"/>
      <c r="O925" s="588"/>
      <c r="P925" s="588"/>
      <c r="Q925" s="588"/>
      <c r="R925" s="588"/>
      <c r="S925" s="588"/>
      <c r="T925" s="588"/>
      <c r="U925" s="588"/>
      <c r="V925" s="588"/>
      <c r="W925" s="588"/>
      <c r="X925" s="497">
        <f t="shared" ref="X925:X956" si="215">SUM(L925:W925)</f>
        <v>0</v>
      </c>
      <c r="Y925" s="508"/>
    </row>
    <row r="926" spans="1:25">
      <c r="A926" s="509" t="s">
        <v>560</v>
      </c>
      <c r="B926" s="510"/>
      <c r="C926" s="510"/>
      <c r="D926" s="510"/>
      <c r="E926" s="551"/>
      <c r="F926" s="509"/>
      <c r="G926" s="552"/>
      <c r="H926" s="551"/>
      <c r="I926" s="514"/>
      <c r="J926" s="507"/>
      <c r="K926" s="507">
        <f t="shared" si="212"/>
        <v>0</v>
      </c>
      <c r="L926" s="497">
        <f t="shared" ref="L926:W926" si="216">SUM(L927:L931)</f>
        <v>0</v>
      </c>
      <c r="M926" s="497">
        <f t="shared" si="216"/>
        <v>0</v>
      </c>
      <c r="N926" s="497">
        <f t="shared" si="216"/>
        <v>0</v>
      </c>
      <c r="O926" s="497">
        <f t="shared" si="216"/>
        <v>0</v>
      </c>
      <c r="P926" s="497">
        <f t="shared" si="216"/>
        <v>0</v>
      </c>
      <c r="Q926" s="497">
        <f t="shared" si="216"/>
        <v>0</v>
      </c>
      <c r="R926" s="497">
        <f t="shared" si="216"/>
        <v>0</v>
      </c>
      <c r="S926" s="497">
        <f t="shared" si="216"/>
        <v>0</v>
      </c>
      <c r="T926" s="497">
        <f t="shared" si="216"/>
        <v>0</v>
      </c>
      <c r="U926" s="497">
        <f t="shared" si="216"/>
        <v>0</v>
      </c>
      <c r="V926" s="497">
        <f t="shared" si="216"/>
        <v>0</v>
      </c>
      <c r="W926" s="497">
        <f t="shared" si="216"/>
        <v>0</v>
      </c>
      <c r="X926" s="497">
        <f t="shared" si="215"/>
        <v>0</v>
      </c>
      <c r="Y926" s="508"/>
    </row>
    <row r="927" spans="1:25">
      <c r="A927" s="515" t="s">
        <v>561</v>
      </c>
      <c r="B927" s="516"/>
      <c r="C927" s="516"/>
      <c r="D927" s="516"/>
      <c r="E927" s="538"/>
      <c r="F927" s="515"/>
      <c r="G927" s="546"/>
      <c r="H927" s="538"/>
      <c r="I927" s="520"/>
      <c r="J927" s="507"/>
      <c r="K927" s="507">
        <f t="shared" si="212"/>
        <v>0</v>
      </c>
      <c r="L927" s="521"/>
      <c r="M927" s="521"/>
      <c r="N927" s="521"/>
      <c r="O927" s="521"/>
      <c r="P927" s="521"/>
      <c r="Q927" s="521"/>
      <c r="R927" s="521"/>
      <c r="S927" s="521"/>
      <c r="T927" s="521"/>
      <c r="U927" s="521"/>
      <c r="V927" s="521"/>
      <c r="W927" s="521"/>
      <c r="X927" s="521">
        <f t="shared" si="215"/>
        <v>0</v>
      </c>
      <c r="Y927" s="508"/>
    </row>
    <row r="928" spans="1:25">
      <c r="A928" s="515" t="s">
        <v>562</v>
      </c>
      <c r="B928" s="516"/>
      <c r="C928" s="516"/>
      <c r="D928" s="516"/>
      <c r="E928" s="538"/>
      <c r="F928" s="515"/>
      <c r="G928" s="546"/>
      <c r="H928" s="538"/>
      <c r="I928" s="520"/>
      <c r="J928" s="507"/>
      <c r="K928" s="507">
        <f t="shared" si="212"/>
        <v>0</v>
      </c>
      <c r="L928" s="521"/>
      <c r="M928" s="521"/>
      <c r="N928" s="521"/>
      <c r="O928" s="521"/>
      <c r="P928" s="521"/>
      <c r="Q928" s="521"/>
      <c r="R928" s="521"/>
      <c r="S928" s="521"/>
      <c r="T928" s="521"/>
      <c r="U928" s="521"/>
      <c r="V928" s="521"/>
      <c r="W928" s="521"/>
      <c r="X928" s="521">
        <f t="shared" si="215"/>
        <v>0</v>
      </c>
      <c r="Y928" s="508"/>
    </row>
    <row r="929" spans="1:25">
      <c r="A929" s="515" t="s">
        <v>562</v>
      </c>
      <c r="B929" s="516"/>
      <c r="C929" s="516"/>
      <c r="D929" s="516"/>
      <c r="E929" s="538"/>
      <c r="F929" s="515"/>
      <c r="G929" s="546"/>
      <c r="H929" s="538"/>
      <c r="I929" s="520"/>
      <c r="J929" s="507"/>
      <c r="K929" s="507">
        <f t="shared" si="212"/>
        <v>0</v>
      </c>
      <c r="L929" s="521"/>
      <c r="M929" s="521"/>
      <c r="N929" s="521"/>
      <c r="O929" s="521"/>
      <c r="P929" s="521"/>
      <c r="Q929" s="521"/>
      <c r="R929" s="521"/>
      <c r="S929" s="521"/>
      <c r="T929" s="521"/>
      <c r="U929" s="521"/>
      <c r="V929" s="521"/>
      <c r="W929" s="521"/>
      <c r="X929" s="521">
        <f t="shared" si="215"/>
        <v>0</v>
      </c>
      <c r="Y929" s="508"/>
    </row>
    <row r="930" spans="1:25">
      <c r="A930" s="515" t="s">
        <v>563</v>
      </c>
      <c r="B930" s="516"/>
      <c r="C930" s="516"/>
      <c r="D930" s="516"/>
      <c r="E930" s="538"/>
      <c r="F930" s="515"/>
      <c r="G930" s="546"/>
      <c r="H930" s="538"/>
      <c r="I930" s="520"/>
      <c r="J930" s="507"/>
      <c r="K930" s="507">
        <f t="shared" si="212"/>
        <v>0</v>
      </c>
      <c r="L930" s="521"/>
      <c r="M930" s="521"/>
      <c r="N930" s="521"/>
      <c r="O930" s="521"/>
      <c r="P930" s="521"/>
      <c r="Q930" s="521"/>
      <c r="R930" s="521"/>
      <c r="S930" s="521"/>
      <c r="T930" s="521"/>
      <c r="U930" s="521"/>
      <c r="V930" s="521"/>
      <c r="W930" s="521"/>
      <c r="X930" s="521">
        <f t="shared" si="215"/>
        <v>0</v>
      </c>
      <c r="Y930" s="508"/>
    </row>
    <row r="931" spans="1:25">
      <c r="A931" s="515" t="s">
        <v>564</v>
      </c>
      <c r="B931" s="516"/>
      <c r="C931" s="516"/>
      <c r="D931" s="516"/>
      <c r="E931" s="538"/>
      <c r="F931" s="515"/>
      <c r="G931" s="546"/>
      <c r="H931" s="538"/>
      <c r="I931" s="520"/>
      <c r="J931" s="507"/>
      <c r="K931" s="507">
        <f t="shared" si="212"/>
        <v>0</v>
      </c>
      <c r="L931" s="521"/>
      <c r="M931" s="521"/>
      <c r="N931" s="521"/>
      <c r="O931" s="521"/>
      <c r="P931" s="521"/>
      <c r="Q931" s="521"/>
      <c r="R931" s="521"/>
      <c r="S931" s="521"/>
      <c r="T931" s="521"/>
      <c r="U931" s="521"/>
      <c r="V931" s="521"/>
      <c r="W931" s="521"/>
      <c r="X931" s="521">
        <f t="shared" si="215"/>
        <v>0</v>
      </c>
      <c r="Y931" s="508"/>
    </row>
    <row r="932" spans="1:25">
      <c r="A932" s="509" t="s">
        <v>567</v>
      </c>
      <c r="B932" s="510"/>
      <c r="C932" s="510"/>
      <c r="D932" s="510"/>
      <c r="E932" s="551"/>
      <c r="F932" s="509"/>
      <c r="G932" s="552"/>
      <c r="H932" s="551"/>
      <c r="I932" s="514"/>
      <c r="J932" s="507"/>
      <c r="K932" s="507">
        <f t="shared" si="212"/>
        <v>0</v>
      </c>
      <c r="L932" s="497">
        <f t="shared" ref="L932:W932" si="217">SUM(L933:L934)</f>
        <v>0</v>
      </c>
      <c r="M932" s="497">
        <f t="shared" si="217"/>
        <v>0</v>
      </c>
      <c r="N932" s="497">
        <f t="shared" si="217"/>
        <v>0</v>
      </c>
      <c r="O932" s="497">
        <f t="shared" si="217"/>
        <v>0</v>
      </c>
      <c r="P932" s="497">
        <f t="shared" si="217"/>
        <v>0</v>
      </c>
      <c r="Q932" s="497">
        <f t="shared" si="217"/>
        <v>0</v>
      </c>
      <c r="R932" s="497">
        <f t="shared" si="217"/>
        <v>0</v>
      </c>
      <c r="S932" s="497">
        <f t="shared" si="217"/>
        <v>0</v>
      </c>
      <c r="T932" s="497">
        <f t="shared" si="217"/>
        <v>0</v>
      </c>
      <c r="U932" s="497">
        <f t="shared" si="217"/>
        <v>0</v>
      </c>
      <c r="V932" s="497">
        <f t="shared" si="217"/>
        <v>0</v>
      </c>
      <c r="W932" s="497">
        <f t="shared" si="217"/>
        <v>0</v>
      </c>
      <c r="X932" s="497">
        <f t="shared" si="215"/>
        <v>0</v>
      </c>
      <c r="Y932" s="508"/>
    </row>
    <row r="933" spans="1:25">
      <c r="A933" s="515" t="s">
        <v>568</v>
      </c>
      <c r="B933" s="516"/>
      <c r="C933" s="516"/>
      <c r="D933" s="516"/>
      <c r="E933" s="538"/>
      <c r="F933" s="515"/>
      <c r="G933" s="546"/>
      <c r="H933" s="538"/>
      <c r="I933" s="520"/>
      <c r="J933" s="507"/>
      <c r="K933" s="507">
        <f t="shared" si="212"/>
        <v>0</v>
      </c>
      <c r="L933" s="521"/>
      <c r="M933" s="521"/>
      <c r="N933" s="521"/>
      <c r="O933" s="521"/>
      <c r="P933" s="521"/>
      <c r="Q933" s="521"/>
      <c r="R933" s="521"/>
      <c r="S933" s="521"/>
      <c r="T933" s="521"/>
      <c r="U933" s="521"/>
      <c r="V933" s="521"/>
      <c r="W933" s="521"/>
      <c r="X933" s="521">
        <f t="shared" si="215"/>
        <v>0</v>
      </c>
      <c r="Y933" s="508"/>
    </row>
    <row r="934" spans="1:25">
      <c r="A934" s="515" t="s">
        <v>1282</v>
      </c>
      <c r="B934" s="516"/>
      <c r="C934" s="516"/>
      <c r="D934" s="516"/>
      <c r="E934" s="538"/>
      <c r="F934" s="515"/>
      <c r="G934" s="546"/>
      <c r="H934" s="538"/>
      <c r="I934" s="520"/>
      <c r="J934" s="507"/>
      <c r="K934" s="507">
        <f t="shared" si="212"/>
        <v>0</v>
      </c>
      <c r="L934" s="521"/>
      <c r="M934" s="521"/>
      <c r="N934" s="521"/>
      <c r="O934" s="521"/>
      <c r="P934" s="521"/>
      <c r="Q934" s="521"/>
      <c r="R934" s="521"/>
      <c r="S934" s="521"/>
      <c r="T934" s="521"/>
      <c r="U934" s="521"/>
      <c r="V934" s="521"/>
      <c r="W934" s="521"/>
      <c r="X934" s="521">
        <f t="shared" si="215"/>
        <v>0</v>
      </c>
      <c r="Y934" s="508"/>
    </row>
    <row r="935" spans="1:25">
      <c r="A935" s="509" t="s">
        <v>1403</v>
      </c>
      <c r="B935" s="510"/>
      <c r="C935" s="510"/>
      <c r="D935" s="510"/>
      <c r="E935" s="551"/>
      <c r="F935" s="509"/>
      <c r="G935" s="552"/>
      <c r="H935" s="551"/>
      <c r="I935" s="514"/>
      <c r="J935" s="507"/>
      <c r="K935" s="507">
        <f t="shared" si="212"/>
        <v>0</v>
      </c>
      <c r="L935" s="497">
        <f t="shared" ref="L935:W935" si="218">SUM(L936:L958)</f>
        <v>2604</v>
      </c>
      <c r="M935" s="497">
        <f t="shared" si="218"/>
        <v>2379</v>
      </c>
      <c r="N935" s="497">
        <f t="shared" si="218"/>
        <v>2399</v>
      </c>
      <c r="O935" s="497">
        <f t="shared" si="218"/>
        <v>17432.5</v>
      </c>
      <c r="P935" s="497">
        <f t="shared" si="218"/>
        <v>2503.1999999999998</v>
      </c>
      <c r="Q935" s="497">
        <f t="shared" si="218"/>
        <v>3530.9</v>
      </c>
      <c r="R935" s="497">
        <f t="shared" si="218"/>
        <v>3539.4500000000003</v>
      </c>
      <c r="S935" s="497">
        <f t="shared" si="218"/>
        <v>3068.9</v>
      </c>
      <c r="T935" s="497">
        <f t="shared" si="218"/>
        <v>3319.4500000000003</v>
      </c>
      <c r="U935" s="497">
        <f t="shared" si="218"/>
        <v>3377.4500000000003</v>
      </c>
      <c r="V935" s="497">
        <f t="shared" si="218"/>
        <v>3230.9</v>
      </c>
      <c r="W935" s="497">
        <f t="shared" si="218"/>
        <v>2577.3000000000002</v>
      </c>
      <c r="X935" s="497">
        <f t="shared" si="215"/>
        <v>49962.05</v>
      </c>
      <c r="Y935" s="508"/>
    </row>
    <row r="936" spans="1:25">
      <c r="A936" s="515" t="s">
        <v>1394</v>
      </c>
      <c r="B936" s="516"/>
      <c r="C936" s="516"/>
      <c r="D936" s="516"/>
      <c r="E936" s="538"/>
      <c r="F936" s="515"/>
      <c r="G936" s="546"/>
      <c r="H936" s="538"/>
      <c r="I936" s="520"/>
      <c r="J936" s="507"/>
      <c r="K936" s="507">
        <f t="shared" si="212"/>
        <v>0</v>
      </c>
      <c r="L936" s="521"/>
      <c r="M936" s="521"/>
      <c r="N936" s="521"/>
      <c r="O936" s="521"/>
      <c r="P936" s="521"/>
      <c r="Q936" s="521"/>
      <c r="R936" s="521"/>
      <c r="S936" s="521"/>
      <c r="T936" s="521"/>
      <c r="U936" s="521"/>
      <c r="V936" s="521"/>
      <c r="W936" s="521"/>
      <c r="X936" s="521">
        <f t="shared" si="215"/>
        <v>0</v>
      </c>
      <c r="Y936" s="508"/>
    </row>
    <row r="937" spans="1:25" ht="150">
      <c r="A937" s="572"/>
      <c r="B937" s="589" t="s">
        <v>1404</v>
      </c>
      <c r="C937" s="590" t="s">
        <v>1256</v>
      </c>
      <c r="D937" s="541" t="s">
        <v>1257</v>
      </c>
      <c r="E937" s="591">
        <v>22373</v>
      </c>
      <c r="F937" s="578"/>
      <c r="G937" s="581"/>
      <c r="H937" s="580">
        <v>188</v>
      </c>
      <c r="I937" s="528"/>
      <c r="J937" s="507">
        <v>20</v>
      </c>
      <c r="K937" s="507">
        <f t="shared" si="212"/>
        <v>3760</v>
      </c>
      <c r="L937" s="521">
        <v>480</v>
      </c>
      <c r="M937" s="521">
        <f>10*$J$937</f>
        <v>200</v>
      </c>
      <c r="N937" s="521">
        <f>10*$J$937</f>
        <v>200</v>
      </c>
      <c r="O937" s="521">
        <f>10*$J$937</f>
        <v>200</v>
      </c>
      <c r="P937" s="521">
        <f>10*$J$937</f>
        <v>200</v>
      </c>
      <c r="Q937" s="521" t="s">
        <v>334</v>
      </c>
      <c r="R937" s="521" t="s">
        <v>334</v>
      </c>
      <c r="S937" s="521" t="s">
        <v>334</v>
      </c>
      <c r="T937" s="521" t="s">
        <v>334</v>
      </c>
      <c r="U937" s="521" t="s">
        <v>334</v>
      </c>
      <c r="V937" s="521" t="s">
        <v>334</v>
      </c>
      <c r="W937" s="521" t="s">
        <v>334</v>
      </c>
      <c r="X937" s="521">
        <f t="shared" si="215"/>
        <v>1280</v>
      </c>
      <c r="Y937" s="508">
        <f>SUM(X937:X943)</f>
        <v>11118</v>
      </c>
    </row>
    <row r="938" spans="1:25" ht="150">
      <c r="A938" s="572"/>
      <c r="B938" s="589" t="s">
        <v>1404</v>
      </c>
      <c r="C938" s="590" t="s">
        <v>1259</v>
      </c>
      <c r="D938" s="541"/>
      <c r="E938" s="592"/>
      <c r="F938" s="578"/>
      <c r="G938" s="581"/>
      <c r="H938" s="580">
        <v>10</v>
      </c>
      <c r="I938" s="528"/>
      <c r="J938" s="507">
        <v>20</v>
      </c>
      <c r="K938" s="507">
        <f t="shared" si="212"/>
        <v>200</v>
      </c>
      <c r="L938" s="521">
        <v>0</v>
      </c>
      <c r="M938" s="521">
        <f>1*$J$938</f>
        <v>20</v>
      </c>
      <c r="N938" s="521">
        <f>1*$J$938</f>
        <v>20</v>
      </c>
      <c r="O938" s="521">
        <f>1*$J$938</f>
        <v>20</v>
      </c>
      <c r="P938" s="521">
        <f>1*$J$938</f>
        <v>20</v>
      </c>
      <c r="Q938" s="521" t="s">
        <v>334</v>
      </c>
      <c r="R938" s="521" t="s">
        <v>334</v>
      </c>
      <c r="S938" s="521" t="s">
        <v>334</v>
      </c>
      <c r="T938" s="521" t="s">
        <v>334</v>
      </c>
      <c r="U938" s="521" t="s">
        <v>334</v>
      </c>
      <c r="V938" s="521" t="s">
        <v>334</v>
      </c>
      <c r="W938" s="521" t="s">
        <v>334</v>
      </c>
      <c r="X938" s="521">
        <f t="shared" si="215"/>
        <v>80</v>
      </c>
      <c r="Y938" s="508"/>
    </row>
    <row r="939" spans="1:25" ht="150">
      <c r="A939" s="572"/>
      <c r="B939" s="593" t="s">
        <v>1405</v>
      </c>
      <c r="C939" s="590" t="s">
        <v>1256</v>
      </c>
      <c r="D939" s="541"/>
      <c r="E939" s="591">
        <v>22373</v>
      </c>
      <c r="F939" s="578"/>
      <c r="G939" s="581"/>
      <c r="H939" s="580">
        <v>10</v>
      </c>
      <c r="I939" s="528"/>
      <c r="J939" s="507">
        <v>20</v>
      </c>
      <c r="K939" s="507">
        <f t="shared" si="212"/>
        <v>200</v>
      </c>
      <c r="L939" s="521">
        <v>0</v>
      </c>
      <c r="M939" s="521">
        <f>1*$J$939</f>
        <v>20</v>
      </c>
      <c r="N939" s="521">
        <f>1*$J$939</f>
        <v>20</v>
      </c>
      <c r="O939" s="521">
        <f>1*$J$939</f>
        <v>20</v>
      </c>
      <c r="P939" s="521">
        <f>1*$J$939</f>
        <v>20</v>
      </c>
      <c r="Q939" s="521" t="s">
        <v>334</v>
      </c>
      <c r="R939" s="521" t="s">
        <v>334</v>
      </c>
      <c r="S939" s="521" t="s">
        <v>334</v>
      </c>
      <c r="T939" s="521" t="s">
        <v>334</v>
      </c>
      <c r="U939" s="521" t="s">
        <v>334</v>
      </c>
      <c r="V939" s="521" t="s">
        <v>334</v>
      </c>
      <c r="W939" s="521" t="s">
        <v>334</v>
      </c>
      <c r="X939" s="521">
        <f t="shared" si="215"/>
        <v>80</v>
      </c>
      <c r="Y939" s="508"/>
    </row>
    <row r="940" spans="1:25" ht="150">
      <c r="A940" s="572"/>
      <c r="B940" s="593" t="s">
        <v>1406</v>
      </c>
      <c r="C940" s="590" t="s">
        <v>1259</v>
      </c>
      <c r="D940" s="541"/>
      <c r="E940" s="592"/>
      <c r="F940" s="578"/>
      <c r="G940" s="581"/>
      <c r="H940" s="580">
        <v>10</v>
      </c>
      <c r="I940" s="528"/>
      <c r="J940" s="507">
        <v>15</v>
      </c>
      <c r="K940" s="507">
        <f t="shared" si="212"/>
        <v>150</v>
      </c>
      <c r="L940" s="521">
        <v>0</v>
      </c>
      <c r="M940" s="521">
        <f>1*$J$940</f>
        <v>15</v>
      </c>
      <c r="N940" s="521">
        <f>1*$J$940</f>
        <v>15</v>
      </c>
      <c r="O940" s="521">
        <f>1*$J$940</f>
        <v>15</v>
      </c>
      <c r="P940" s="521">
        <f>1*$J$940</f>
        <v>15</v>
      </c>
      <c r="Q940" s="521" t="s">
        <v>334</v>
      </c>
      <c r="R940" s="521" t="s">
        <v>334</v>
      </c>
      <c r="S940" s="521" t="s">
        <v>334</v>
      </c>
      <c r="T940" s="521" t="s">
        <v>334</v>
      </c>
      <c r="U940" s="521" t="s">
        <v>334</v>
      </c>
      <c r="V940" s="521" t="s">
        <v>334</v>
      </c>
      <c r="W940" s="521" t="s">
        <v>334</v>
      </c>
      <c r="X940" s="521">
        <f t="shared" si="215"/>
        <v>60</v>
      </c>
      <c r="Y940" s="508"/>
    </row>
    <row r="941" spans="1:25" ht="135">
      <c r="A941" s="572"/>
      <c r="B941" s="593" t="s">
        <v>1407</v>
      </c>
      <c r="C941" s="590" t="s">
        <v>1256</v>
      </c>
      <c r="D941" s="541"/>
      <c r="E941" s="594">
        <v>5916</v>
      </c>
      <c r="F941" s="578" t="s">
        <v>1408</v>
      </c>
      <c r="G941" s="581"/>
      <c r="H941" s="580">
        <v>20</v>
      </c>
      <c r="I941" s="528"/>
      <c r="J941" s="507">
        <v>20</v>
      </c>
      <c r="K941" s="507">
        <f t="shared" si="212"/>
        <v>400</v>
      </c>
      <c r="L941" s="521">
        <v>40</v>
      </c>
      <c r="M941" s="521">
        <f>1*$J$941</f>
        <v>20</v>
      </c>
      <c r="N941" s="521">
        <f>2*$J$941</f>
        <v>40</v>
      </c>
      <c r="O941" s="521">
        <f>1*$J$941</f>
        <v>20</v>
      </c>
      <c r="P941" s="521">
        <f>2*$J$941</f>
        <v>40</v>
      </c>
      <c r="Q941" s="521" t="s">
        <v>334</v>
      </c>
      <c r="R941" s="521" t="s">
        <v>334</v>
      </c>
      <c r="S941" s="521" t="s">
        <v>334</v>
      </c>
      <c r="T941" s="521" t="s">
        <v>334</v>
      </c>
      <c r="U941" s="521" t="s">
        <v>334</v>
      </c>
      <c r="V941" s="521" t="s">
        <v>334</v>
      </c>
      <c r="W941" s="521" t="s">
        <v>334</v>
      </c>
      <c r="X941" s="521">
        <f t="shared" si="215"/>
        <v>160</v>
      </c>
      <c r="Y941" s="508"/>
    </row>
    <row r="942" spans="1:25" ht="120">
      <c r="A942" s="572"/>
      <c r="B942" s="593" t="s">
        <v>1409</v>
      </c>
      <c r="C942" s="590" t="s">
        <v>1259</v>
      </c>
      <c r="D942" s="541"/>
      <c r="E942" s="595">
        <v>876</v>
      </c>
      <c r="F942" s="578" t="s">
        <v>1410</v>
      </c>
      <c r="G942" s="581"/>
      <c r="H942" s="580">
        <v>10</v>
      </c>
      <c r="I942" s="528"/>
      <c r="J942" s="507">
        <v>20</v>
      </c>
      <c r="K942" s="507">
        <f t="shared" si="212"/>
        <v>200</v>
      </c>
      <c r="L942" s="521">
        <v>0</v>
      </c>
      <c r="M942" s="521">
        <f>1*$J$942</f>
        <v>20</v>
      </c>
      <c r="N942" s="521">
        <f>1*$J$942</f>
        <v>20</v>
      </c>
      <c r="O942" s="521">
        <f>1*$J$942</f>
        <v>20</v>
      </c>
      <c r="P942" s="521">
        <f>1*$J$942</f>
        <v>20</v>
      </c>
      <c r="Q942" s="521" t="s">
        <v>334</v>
      </c>
      <c r="R942" s="521" t="s">
        <v>334</v>
      </c>
      <c r="S942" s="521" t="s">
        <v>334</v>
      </c>
      <c r="T942" s="521" t="s">
        <v>334</v>
      </c>
      <c r="U942" s="521" t="s">
        <v>334</v>
      </c>
      <c r="V942" s="521" t="s">
        <v>334</v>
      </c>
      <c r="W942" s="521" t="s">
        <v>334</v>
      </c>
      <c r="X942" s="521">
        <f t="shared" si="215"/>
        <v>80</v>
      </c>
      <c r="Y942" s="508"/>
    </row>
    <row r="943" spans="1:25">
      <c r="A943" s="578"/>
      <c r="B943" s="537" t="s">
        <v>1411</v>
      </c>
      <c r="C943" s="525" t="s">
        <v>1256</v>
      </c>
      <c r="D943" s="541"/>
      <c r="E943" s="580">
        <v>14311</v>
      </c>
      <c r="F943" s="578"/>
      <c r="G943" s="581"/>
      <c r="H943" s="580">
        <v>96</v>
      </c>
      <c r="I943" s="528"/>
      <c r="J943" s="507">
        <v>260.5</v>
      </c>
      <c r="K943" s="507">
        <v>25000</v>
      </c>
      <c r="L943" s="521">
        <f>8*$J$943</f>
        <v>2084</v>
      </c>
      <c r="M943" s="521">
        <f>8*J943</f>
        <v>2084</v>
      </c>
      <c r="N943" s="521">
        <f>8*J943</f>
        <v>2084</v>
      </c>
      <c r="O943" s="521">
        <f>8*J943</f>
        <v>2084</v>
      </c>
      <c r="P943" s="521">
        <f>4*J943</f>
        <v>1042</v>
      </c>
      <c r="Q943" s="521" t="s">
        <v>334</v>
      </c>
      <c r="R943" s="521" t="s">
        <v>334</v>
      </c>
      <c r="S943" s="521" t="s">
        <v>334</v>
      </c>
      <c r="T943" s="521" t="s">
        <v>334</v>
      </c>
      <c r="U943" s="521" t="s">
        <v>334</v>
      </c>
      <c r="V943" s="521" t="s">
        <v>334</v>
      </c>
      <c r="W943" s="521" t="s">
        <v>334</v>
      </c>
      <c r="X943" s="521">
        <f t="shared" si="215"/>
        <v>9378</v>
      </c>
      <c r="Y943" s="508"/>
    </row>
    <row r="944" spans="1:25">
      <c r="A944" s="515" t="s">
        <v>1264</v>
      </c>
      <c r="B944" s="516"/>
      <c r="C944" s="516"/>
      <c r="D944" s="516"/>
      <c r="E944" s="538"/>
      <c r="F944" s="515"/>
      <c r="G944" s="546"/>
      <c r="H944" s="538"/>
      <c r="I944" s="520"/>
      <c r="J944" s="507"/>
      <c r="K944" s="507">
        <f t="shared" ref="K944:K975" si="219">H944*J944</f>
        <v>0</v>
      </c>
      <c r="L944" s="521"/>
      <c r="M944" s="521"/>
      <c r="N944" s="521"/>
      <c r="O944" s="521"/>
      <c r="P944" s="521"/>
      <c r="Q944" s="521"/>
      <c r="R944" s="521"/>
      <c r="S944" s="521"/>
      <c r="T944" s="521"/>
      <c r="U944" s="521"/>
      <c r="V944" s="521"/>
      <c r="W944" s="521"/>
      <c r="X944" s="521">
        <f t="shared" si="215"/>
        <v>0</v>
      </c>
      <c r="Y944" s="508"/>
    </row>
    <row r="945" spans="1:25" ht="150">
      <c r="A945" s="515"/>
      <c r="B945" s="596" t="s">
        <v>1412</v>
      </c>
      <c r="C945" s="538" t="s">
        <v>1256</v>
      </c>
      <c r="D945" s="541" t="s">
        <v>1257</v>
      </c>
      <c r="E945" s="538"/>
      <c r="F945" s="597"/>
      <c r="G945" s="546"/>
      <c r="H945" s="538">
        <v>330</v>
      </c>
      <c r="I945" s="520"/>
      <c r="J945" s="507">
        <f>20*1.1</f>
        <v>22</v>
      </c>
      <c r="K945" s="507">
        <f t="shared" si="219"/>
        <v>7260</v>
      </c>
      <c r="L945" s="521" t="s">
        <v>334</v>
      </c>
      <c r="M945" s="521" t="s">
        <v>334</v>
      </c>
      <c r="N945" s="521" t="s">
        <v>334</v>
      </c>
      <c r="O945" s="521" t="s">
        <v>334</v>
      </c>
      <c r="P945" s="521"/>
      <c r="Q945" s="521">
        <f>25*$J$945</f>
        <v>550</v>
      </c>
      <c r="R945" s="521">
        <f>35*$J$945</f>
        <v>770</v>
      </c>
      <c r="S945" s="521">
        <f>25*$J$945</f>
        <v>550</v>
      </c>
      <c r="T945" s="521">
        <f>25*$J$945</f>
        <v>550</v>
      </c>
      <c r="U945" s="521">
        <f>25*$J$945</f>
        <v>550</v>
      </c>
      <c r="V945" s="521">
        <f>35*$J$945</f>
        <v>770</v>
      </c>
      <c r="W945" s="521">
        <f>35*$J$945</f>
        <v>770</v>
      </c>
      <c r="X945" s="521">
        <f t="shared" si="215"/>
        <v>4510</v>
      </c>
      <c r="Y945" s="508">
        <f>SUM(X945:X957)</f>
        <v>23790.550000000003</v>
      </c>
    </row>
    <row r="946" spans="1:25" ht="150">
      <c r="A946" s="515"/>
      <c r="B946" s="596" t="s">
        <v>1412</v>
      </c>
      <c r="C946" s="538" t="s">
        <v>1259</v>
      </c>
      <c r="D946" s="541"/>
      <c r="E946" s="538"/>
      <c r="F946" s="597"/>
      <c r="G946" s="546"/>
      <c r="H946" s="538">
        <v>20</v>
      </c>
      <c r="I946" s="520"/>
      <c r="J946" s="507">
        <f>20*1.1</f>
        <v>22</v>
      </c>
      <c r="K946" s="507">
        <f t="shared" si="219"/>
        <v>440</v>
      </c>
      <c r="L946" s="521" t="s">
        <v>334</v>
      </c>
      <c r="M946" s="521" t="s">
        <v>334</v>
      </c>
      <c r="N946" s="521" t="s">
        <v>334</v>
      </c>
      <c r="O946" s="521" t="s">
        <v>334</v>
      </c>
      <c r="P946" s="521"/>
      <c r="Q946" s="521">
        <f t="shared" ref="Q946:V946" si="220">1*$J$946</f>
        <v>22</v>
      </c>
      <c r="R946" s="521">
        <f t="shared" si="220"/>
        <v>22</v>
      </c>
      <c r="S946" s="521">
        <f t="shared" si="220"/>
        <v>22</v>
      </c>
      <c r="T946" s="521">
        <f t="shared" si="220"/>
        <v>22</v>
      </c>
      <c r="U946" s="521">
        <f t="shared" si="220"/>
        <v>22</v>
      </c>
      <c r="V946" s="521">
        <f t="shared" si="220"/>
        <v>22</v>
      </c>
      <c r="W946" s="521">
        <f>0*$J$946</f>
        <v>0</v>
      </c>
      <c r="X946" s="521">
        <f t="shared" si="215"/>
        <v>132</v>
      </c>
      <c r="Y946" s="508"/>
    </row>
    <row r="947" spans="1:25" ht="150">
      <c r="A947" s="515"/>
      <c r="B947" s="596" t="s">
        <v>1412</v>
      </c>
      <c r="C947" s="538" t="s">
        <v>1413</v>
      </c>
      <c r="D947" s="541"/>
      <c r="E947" s="538"/>
      <c r="F947" s="597"/>
      <c r="G947" s="546"/>
      <c r="H947" s="538">
        <v>10</v>
      </c>
      <c r="I947" s="520"/>
      <c r="J947" s="507">
        <f>35*1.2</f>
        <v>42</v>
      </c>
      <c r="K947" s="507">
        <f t="shared" si="219"/>
        <v>420</v>
      </c>
      <c r="L947" s="521" t="s">
        <v>334</v>
      </c>
      <c r="M947" s="521" t="s">
        <v>334</v>
      </c>
      <c r="N947" s="521" t="s">
        <v>334</v>
      </c>
      <c r="O947" s="521" t="s">
        <v>334</v>
      </c>
      <c r="P947" s="521"/>
      <c r="Q947" s="521">
        <f t="shared" ref="Q947:V947" si="221">1*$J$947</f>
        <v>42</v>
      </c>
      <c r="R947" s="521">
        <f t="shared" si="221"/>
        <v>42</v>
      </c>
      <c r="S947" s="521">
        <f t="shared" si="221"/>
        <v>42</v>
      </c>
      <c r="T947" s="521">
        <f t="shared" si="221"/>
        <v>42</v>
      </c>
      <c r="U947" s="521">
        <f t="shared" si="221"/>
        <v>42</v>
      </c>
      <c r="V947" s="521">
        <f t="shared" si="221"/>
        <v>42</v>
      </c>
      <c r="W947" s="521">
        <f>0*$J$947</f>
        <v>0</v>
      </c>
      <c r="X947" s="521">
        <f t="shared" si="215"/>
        <v>252</v>
      </c>
      <c r="Y947" s="508"/>
    </row>
    <row r="948" spans="1:25" ht="165">
      <c r="A948" s="515"/>
      <c r="B948" s="596" t="s">
        <v>1414</v>
      </c>
      <c r="C948" s="538" t="s">
        <v>1256</v>
      </c>
      <c r="D948" s="516"/>
      <c r="E948" s="538"/>
      <c r="F948" s="597"/>
      <c r="G948" s="546"/>
      <c r="H948" s="538">
        <v>30</v>
      </c>
      <c r="I948" s="520"/>
      <c r="J948" s="507">
        <f>20*1.1</f>
        <v>22</v>
      </c>
      <c r="K948" s="507">
        <f t="shared" si="219"/>
        <v>660</v>
      </c>
      <c r="L948" s="521" t="s">
        <v>334</v>
      </c>
      <c r="M948" s="521" t="s">
        <v>334</v>
      </c>
      <c r="N948" s="521" t="s">
        <v>334</v>
      </c>
      <c r="O948" s="521" t="s">
        <v>334</v>
      </c>
      <c r="P948" s="521"/>
      <c r="Q948" s="521">
        <f>2*$J$948</f>
        <v>44</v>
      </c>
      <c r="R948" s="521">
        <f t="shared" ref="R948:W948" si="222">2*$J$946</f>
        <v>44</v>
      </c>
      <c r="S948" s="521">
        <f t="shared" si="222"/>
        <v>44</v>
      </c>
      <c r="T948" s="521">
        <f t="shared" si="222"/>
        <v>44</v>
      </c>
      <c r="U948" s="521">
        <f t="shared" si="222"/>
        <v>44</v>
      </c>
      <c r="V948" s="521">
        <f t="shared" si="222"/>
        <v>44</v>
      </c>
      <c r="W948" s="521">
        <f t="shared" si="222"/>
        <v>44</v>
      </c>
      <c r="X948" s="521">
        <f t="shared" si="215"/>
        <v>308</v>
      </c>
      <c r="Y948" s="508"/>
    </row>
    <row r="949" spans="1:25" ht="165">
      <c r="A949" s="515"/>
      <c r="B949" s="596" t="s">
        <v>1414</v>
      </c>
      <c r="C949" s="538" t="s">
        <v>1259</v>
      </c>
      <c r="D949" s="516"/>
      <c r="E949" s="538"/>
      <c r="F949" s="597"/>
      <c r="G949" s="546"/>
      <c r="H949" s="538">
        <v>10</v>
      </c>
      <c r="I949" s="520"/>
      <c r="J949" s="507">
        <f>15*1.1</f>
        <v>16.5</v>
      </c>
      <c r="K949" s="507">
        <f t="shared" si="219"/>
        <v>165</v>
      </c>
      <c r="L949" s="521" t="s">
        <v>334</v>
      </c>
      <c r="M949" s="521" t="s">
        <v>334</v>
      </c>
      <c r="N949" s="521" t="s">
        <v>334</v>
      </c>
      <c r="O949" s="521" t="s">
        <v>334</v>
      </c>
      <c r="P949" s="521"/>
      <c r="Q949" s="521">
        <f t="shared" ref="Q949:V949" si="223">1*$J$949</f>
        <v>16.5</v>
      </c>
      <c r="R949" s="521">
        <f t="shared" si="223"/>
        <v>16.5</v>
      </c>
      <c r="S949" s="521">
        <f t="shared" si="223"/>
        <v>16.5</v>
      </c>
      <c r="T949" s="521">
        <f t="shared" si="223"/>
        <v>16.5</v>
      </c>
      <c r="U949" s="521">
        <f t="shared" si="223"/>
        <v>16.5</v>
      </c>
      <c r="V949" s="521">
        <f t="shared" si="223"/>
        <v>16.5</v>
      </c>
      <c r="W949" s="521">
        <f>0*$J$945</f>
        <v>0</v>
      </c>
      <c r="X949" s="521">
        <f t="shared" si="215"/>
        <v>99</v>
      </c>
      <c r="Y949" s="508"/>
    </row>
    <row r="950" spans="1:25" ht="165">
      <c r="A950" s="515"/>
      <c r="B950" s="596" t="s">
        <v>1414</v>
      </c>
      <c r="C950" s="538" t="s">
        <v>1413</v>
      </c>
      <c r="D950" s="516"/>
      <c r="E950" s="538"/>
      <c r="F950" s="597"/>
      <c r="G950" s="546"/>
      <c r="H950" s="538">
        <v>5</v>
      </c>
      <c r="I950" s="520"/>
      <c r="J950" s="507">
        <f>30*1.2</f>
        <v>36</v>
      </c>
      <c r="K950" s="507">
        <f t="shared" si="219"/>
        <v>180</v>
      </c>
      <c r="L950" s="521" t="s">
        <v>334</v>
      </c>
      <c r="M950" s="521" t="s">
        <v>334</v>
      </c>
      <c r="N950" s="521" t="s">
        <v>334</v>
      </c>
      <c r="O950" s="521" t="s">
        <v>334</v>
      </c>
      <c r="P950" s="521"/>
      <c r="Q950" s="521">
        <f>1*$J$950</f>
        <v>36</v>
      </c>
      <c r="R950" s="521">
        <f>0*$J$950</f>
        <v>0</v>
      </c>
      <c r="S950" s="521">
        <f>1*$J$950</f>
        <v>36</v>
      </c>
      <c r="T950" s="521">
        <f>0*$J$950</f>
        <v>0</v>
      </c>
      <c r="U950" s="521">
        <f>1*$J$950</f>
        <v>36</v>
      </c>
      <c r="V950" s="521">
        <f>0*$J$950</f>
        <v>0</v>
      </c>
      <c r="W950" s="521">
        <f>0*$J$950</f>
        <v>0</v>
      </c>
      <c r="X950" s="521">
        <f t="shared" si="215"/>
        <v>108</v>
      </c>
      <c r="Y950" s="508"/>
    </row>
    <row r="951" spans="1:25" ht="135">
      <c r="A951" s="515"/>
      <c r="B951" s="537" t="s">
        <v>1415</v>
      </c>
      <c r="C951" s="538" t="s">
        <v>1256</v>
      </c>
      <c r="D951" s="516"/>
      <c r="E951" s="538"/>
      <c r="F951" s="597"/>
      <c r="G951" s="546"/>
      <c r="H951" s="538">
        <v>17</v>
      </c>
      <c r="I951" s="520"/>
      <c r="J951" s="507">
        <f>10*1.1</f>
        <v>11</v>
      </c>
      <c r="K951" s="507">
        <f t="shared" si="219"/>
        <v>187</v>
      </c>
      <c r="L951" s="521" t="s">
        <v>334</v>
      </c>
      <c r="M951" s="521" t="s">
        <v>334</v>
      </c>
      <c r="N951" s="521" t="s">
        <v>334</v>
      </c>
      <c r="O951" s="521" t="s">
        <v>334</v>
      </c>
      <c r="P951" s="521"/>
      <c r="Q951" s="521">
        <f>2*$J$945</f>
        <v>44</v>
      </c>
      <c r="R951" s="521">
        <f>2*$J$945</f>
        <v>44</v>
      </c>
      <c r="S951" s="521">
        <f>1*$J$945</f>
        <v>22</v>
      </c>
      <c r="T951" s="521">
        <f>2*$J$945</f>
        <v>44</v>
      </c>
      <c r="U951" s="521">
        <f>2*$J$945</f>
        <v>44</v>
      </c>
      <c r="V951" s="521">
        <f>2*$J$945</f>
        <v>44</v>
      </c>
      <c r="W951" s="521">
        <f>1*$J$945</f>
        <v>22</v>
      </c>
      <c r="X951" s="521">
        <f t="shared" si="215"/>
        <v>264</v>
      </c>
      <c r="Y951" s="508"/>
    </row>
    <row r="952" spans="1:25" ht="135">
      <c r="A952" s="515"/>
      <c r="B952" s="537" t="s">
        <v>1415</v>
      </c>
      <c r="C952" s="538" t="s">
        <v>1259</v>
      </c>
      <c r="D952" s="516"/>
      <c r="E952" s="538"/>
      <c r="F952" s="597"/>
      <c r="G952" s="546"/>
      <c r="H952" s="538">
        <v>7</v>
      </c>
      <c r="I952" s="520"/>
      <c r="J952" s="507">
        <f>10*1.1</f>
        <v>11</v>
      </c>
      <c r="K952" s="507">
        <f t="shared" si="219"/>
        <v>77</v>
      </c>
      <c r="L952" s="521" t="s">
        <v>334</v>
      </c>
      <c r="M952" s="521" t="s">
        <v>334</v>
      </c>
      <c r="N952" s="521" t="s">
        <v>334</v>
      </c>
      <c r="O952" s="521" t="s">
        <v>334</v>
      </c>
      <c r="P952" s="521"/>
      <c r="Q952" s="521">
        <f>1*$J$946</f>
        <v>22</v>
      </c>
      <c r="R952" s="521">
        <f>1*$J$946</f>
        <v>22</v>
      </c>
      <c r="S952" s="521">
        <f>1*$J$946</f>
        <v>22</v>
      </c>
      <c r="T952" s="521">
        <f>1*$J$946</f>
        <v>22</v>
      </c>
      <c r="U952" s="521">
        <f>1*$J$946</f>
        <v>22</v>
      </c>
      <c r="V952" s="521">
        <f>0*$J$946</f>
        <v>0</v>
      </c>
      <c r="W952" s="521">
        <f>1*$J$946</f>
        <v>22</v>
      </c>
      <c r="X952" s="521">
        <f t="shared" si="215"/>
        <v>132</v>
      </c>
      <c r="Y952" s="508"/>
    </row>
    <row r="953" spans="1:25" ht="135">
      <c r="A953" s="515"/>
      <c r="B953" s="537" t="s">
        <v>1415</v>
      </c>
      <c r="C953" s="538" t="s">
        <v>1413</v>
      </c>
      <c r="D953" s="516"/>
      <c r="E953" s="538"/>
      <c r="F953" s="597"/>
      <c r="G953" s="546"/>
      <c r="H953" s="538">
        <v>3</v>
      </c>
      <c r="I953" s="520"/>
      <c r="J953" s="507">
        <f>77.5*1.2</f>
        <v>93</v>
      </c>
      <c r="K953" s="507">
        <f t="shared" si="219"/>
        <v>279</v>
      </c>
      <c r="L953" s="521" t="s">
        <v>334</v>
      </c>
      <c r="M953" s="521" t="s">
        <v>334</v>
      </c>
      <c r="N953" s="521" t="s">
        <v>334</v>
      </c>
      <c r="O953" s="521" t="s">
        <v>334</v>
      </c>
      <c r="P953" s="521"/>
      <c r="Q953" s="521">
        <f>10*$J$945</f>
        <v>220</v>
      </c>
      <c r="R953" s="521">
        <f>0*$J$945</f>
        <v>0</v>
      </c>
      <c r="S953" s="521">
        <f>1*$J$945</f>
        <v>22</v>
      </c>
      <c r="T953" s="521">
        <f>0*$J$945</f>
        <v>0</v>
      </c>
      <c r="U953" s="521">
        <f>1*$J$945</f>
        <v>22</v>
      </c>
      <c r="V953" s="521">
        <f>0*$J$945</f>
        <v>0</v>
      </c>
      <c r="W953" s="521">
        <f>0*$J$945</f>
        <v>0</v>
      </c>
      <c r="X953" s="521">
        <f t="shared" si="215"/>
        <v>264</v>
      </c>
      <c r="Y953" s="508"/>
    </row>
    <row r="954" spans="1:25" ht="120">
      <c r="A954" s="515"/>
      <c r="B954" s="537" t="s">
        <v>1416</v>
      </c>
      <c r="C954" s="538" t="s">
        <v>1256</v>
      </c>
      <c r="D954" s="516"/>
      <c r="E954" s="538"/>
      <c r="F954" s="597"/>
      <c r="G954" s="546"/>
      <c r="H954" s="538">
        <v>8</v>
      </c>
      <c r="I954" s="520"/>
      <c r="J954" s="507">
        <f>10*1.1</f>
        <v>11</v>
      </c>
      <c r="K954" s="507">
        <f t="shared" si="219"/>
        <v>88</v>
      </c>
      <c r="L954" s="521" t="s">
        <v>334</v>
      </c>
      <c r="M954" s="521" t="s">
        <v>334</v>
      </c>
      <c r="N954" s="521" t="s">
        <v>334</v>
      </c>
      <c r="O954" s="521" t="s">
        <v>334</v>
      </c>
      <c r="P954" s="521"/>
      <c r="Q954" s="521"/>
      <c r="R954" s="521"/>
      <c r="S954" s="521"/>
      <c r="T954" s="521"/>
      <c r="U954" s="521"/>
      <c r="V954" s="521"/>
      <c r="W954" s="521"/>
      <c r="X954" s="521">
        <f t="shared" si="215"/>
        <v>0</v>
      </c>
      <c r="Y954" s="508"/>
    </row>
    <row r="955" spans="1:25" ht="120">
      <c r="A955" s="515"/>
      <c r="B955" s="537" t="s">
        <v>1416</v>
      </c>
      <c r="C955" s="538" t="s">
        <v>1259</v>
      </c>
      <c r="D955" s="516"/>
      <c r="E955" s="538"/>
      <c r="F955" s="597"/>
      <c r="G955" s="546"/>
      <c r="H955" s="538">
        <v>3</v>
      </c>
      <c r="I955" s="520"/>
      <c r="J955" s="507">
        <f>10*1.1</f>
        <v>11</v>
      </c>
      <c r="K955" s="507">
        <f t="shared" si="219"/>
        <v>33</v>
      </c>
      <c r="L955" s="521" t="s">
        <v>334</v>
      </c>
      <c r="M955" s="521" t="s">
        <v>334</v>
      </c>
      <c r="N955" s="521" t="s">
        <v>334</v>
      </c>
      <c r="O955" s="521" t="s">
        <v>334</v>
      </c>
      <c r="P955" s="521"/>
      <c r="Q955" s="521">
        <f>10*$J$945</f>
        <v>220</v>
      </c>
      <c r="R955" s="521"/>
      <c r="S955" s="521"/>
      <c r="T955" s="521"/>
      <c r="U955" s="521"/>
      <c r="V955" s="521"/>
      <c r="W955" s="521"/>
      <c r="X955" s="521">
        <f t="shared" si="215"/>
        <v>220</v>
      </c>
      <c r="Y955" s="508"/>
    </row>
    <row r="956" spans="1:25" ht="120">
      <c r="A956" s="515"/>
      <c r="B956" s="537" t="s">
        <v>1416</v>
      </c>
      <c r="C956" s="538" t="s">
        <v>1413</v>
      </c>
      <c r="D956" s="516"/>
      <c r="E956" s="538"/>
      <c r="F956" s="597"/>
      <c r="G956" s="546"/>
      <c r="H956" s="538">
        <v>2</v>
      </c>
      <c r="I956" s="520"/>
      <c r="J956" s="507">
        <f>77.5*1.2</f>
        <v>93</v>
      </c>
      <c r="K956" s="507">
        <f t="shared" si="219"/>
        <v>186</v>
      </c>
      <c r="L956" s="521" t="s">
        <v>334</v>
      </c>
      <c r="M956" s="521" t="s">
        <v>334</v>
      </c>
      <c r="N956" s="521" t="s">
        <v>334</v>
      </c>
      <c r="O956" s="521" t="s">
        <v>334</v>
      </c>
      <c r="P956" s="521"/>
      <c r="Q956" s="521">
        <f>1*$J$946</f>
        <v>22</v>
      </c>
      <c r="R956" s="521"/>
      <c r="S956" s="521"/>
      <c r="T956" s="521"/>
      <c r="U956" s="521"/>
      <c r="V956" s="521"/>
      <c r="W956" s="521"/>
      <c r="X956" s="521">
        <f t="shared" si="215"/>
        <v>22</v>
      </c>
      <c r="Y956" s="508"/>
    </row>
    <row r="957" spans="1:25">
      <c r="A957" s="542"/>
      <c r="B957" s="531" t="s">
        <v>1417</v>
      </c>
      <c r="C957" s="519" t="s">
        <v>1256</v>
      </c>
      <c r="D957" s="516"/>
      <c r="E957" s="538"/>
      <c r="F957" s="597"/>
      <c r="G957" s="546"/>
      <c r="H957" s="538">
        <v>96</v>
      </c>
      <c r="I957" s="520"/>
      <c r="J957" s="507">
        <f>J943*1.1</f>
        <v>286.55</v>
      </c>
      <c r="K957" s="507">
        <f t="shared" si="219"/>
        <v>27508.800000000003</v>
      </c>
      <c r="L957" s="521" t="s">
        <v>334</v>
      </c>
      <c r="M957" s="521" t="s">
        <v>334</v>
      </c>
      <c r="N957" s="521" t="s">
        <v>334</v>
      </c>
      <c r="O957" s="521" t="s">
        <v>334</v>
      </c>
      <c r="P957" s="521">
        <f>4*J957</f>
        <v>1146.2</v>
      </c>
      <c r="Q957" s="521">
        <f>8*J957</f>
        <v>2292.4</v>
      </c>
      <c r="R957" s="521">
        <f>9*J957</f>
        <v>2578.9500000000003</v>
      </c>
      <c r="S957" s="521">
        <f>8*J957</f>
        <v>2292.4</v>
      </c>
      <c r="T957" s="521">
        <f>9*J957</f>
        <v>2578.9500000000003</v>
      </c>
      <c r="U957" s="521">
        <f>9*J957</f>
        <v>2578.9500000000003</v>
      </c>
      <c r="V957" s="521">
        <f>8*J957</f>
        <v>2292.4</v>
      </c>
      <c r="W957" s="521">
        <f>6*J957</f>
        <v>1719.3000000000002</v>
      </c>
      <c r="X957" s="521">
        <f t="shared" ref="X957:X981" si="224">SUM(L957:W957)</f>
        <v>17479.550000000003</v>
      </c>
      <c r="Y957" s="508"/>
    </row>
    <row r="958" spans="1:25">
      <c r="A958" s="515" t="s">
        <v>1418</v>
      </c>
      <c r="B958" s="516"/>
      <c r="C958" s="516"/>
      <c r="D958" s="516"/>
      <c r="E958" s="538"/>
      <c r="F958" s="515"/>
      <c r="G958" s="546"/>
      <c r="H958" s="538">
        <v>230</v>
      </c>
      <c r="I958" s="520" t="s">
        <v>1419</v>
      </c>
      <c r="J958" s="507">
        <f>59.5*1.1</f>
        <v>65.45</v>
      </c>
      <c r="K958" s="507">
        <f t="shared" si="219"/>
        <v>15053.5</v>
      </c>
      <c r="L958" s="521"/>
      <c r="M958" s="521"/>
      <c r="N958" s="521"/>
      <c r="O958" s="521">
        <f>59.5*230*1.1</f>
        <v>15053.500000000002</v>
      </c>
      <c r="P958" s="521"/>
      <c r="Q958" s="521"/>
      <c r="R958" s="521"/>
      <c r="S958" s="521"/>
      <c r="T958" s="521"/>
      <c r="U958" s="521"/>
      <c r="V958" s="521"/>
      <c r="W958" s="521"/>
      <c r="X958" s="521">
        <f t="shared" si="224"/>
        <v>15053.500000000002</v>
      </c>
      <c r="Y958" s="508"/>
    </row>
    <row r="959" spans="1:25">
      <c r="A959" s="509" t="s">
        <v>1420</v>
      </c>
      <c r="B959" s="510"/>
      <c r="C959" s="510"/>
      <c r="D959" s="510"/>
      <c r="E959" s="551"/>
      <c r="F959" s="509"/>
      <c r="G959" s="552"/>
      <c r="H959" s="551"/>
      <c r="I959" s="514"/>
      <c r="J959" s="507"/>
      <c r="K959" s="507">
        <f t="shared" si="219"/>
        <v>0</v>
      </c>
      <c r="L959" s="497">
        <f t="shared" ref="L959:W959" si="225">SUM(L960:L971)</f>
        <v>100</v>
      </c>
      <c r="M959" s="497">
        <f t="shared" si="225"/>
        <v>120</v>
      </c>
      <c r="N959" s="497">
        <f t="shared" si="225"/>
        <v>140</v>
      </c>
      <c r="O959" s="497">
        <f t="shared" si="225"/>
        <v>120</v>
      </c>
      <c r="P959" s="497">
        <f t="shared" si="225"/>
        <v>236.00399999999999</v>
      </c>
      <c r="Q959" s="497">
        <f t="shared" si="225"/>
        <v>304.00400000000002</v>
      </c>
      <c r="R959" s="497">
        <f t="shared" si="225"/>
        <v>304.00400000000002</v>
      </c>
      <c r="S959" s="497">
        <f t="shared" si="225"/>
        <v>304.00400000000002</v>
      </c>
      <c r="T959" s="497">
        <f t="shared" si="225"/>
        <v>282.00400000000002</v>
      </c>
      <c r="U959" s="497">
        <f t="shared" si="225"/>
        <v>293.00400000000002</v>
      </c>
      <c r="V959" s="497">
        <f t="shared" si="225"/>
        <v>304.00400000000002</v>
      </c>
      <c r="W959" s="497">
        <f t="shared" si="225"/>
        <v>220</v>
      </c>
      <c r="X959" s="497">
        <f t="shared" si="224"/>
        <v>2727.0279999999998</v>
      </c>
      <c r="Y959" s="508"/>
    </row>
    <row r="960" spans="1:25">
      <c r="A960" s="515" t="s">
        <v>1394</v>
      </c>
      <c r="B960" s="516"/>
      <c r="C960" s="516"/>
      <c r="D960" s="570"/>
      <c r="E960" s="538"/>
      <c r="F960" s="515"/>
      <c r="G960" s="546"/>
      <c r="H960" s="538"/>
      <c r="I960" s="520"/>
      <c r="J960" s="507"/>
      <c r="K960" s="507">
        <f t="shared" si="219"/>
        <v>0</v>
      </c>
      <c r="L960" s="521"/>
      <c r="M960" s="521"/>
      <c r="N960" s="521"/>
      <c r="O960" s="521"/>
      <c r="P960" s="521"/>
      <c r="Q960" s="521"/>
      <c r="R960" s="521"/>
      <c r="S960" s="521"/>
      <c r="T960" s="521"/>
      <c r="U960" s="521"/>
      <c r="V960" s="521"/>
      <c r="W960" s="521"/>
      <c r="X960" s="521">
        <f t="shared" si="224"/>
        <v>0</v>
      </c>
      <c r="Y960" s="508"/>
    </row>
    <row r="961" spans="1:25" ht="90">
      <c r="A961" s="572"/>
      <c r="B961" s="529" t="s">
        <v>1421</v>
      </c>
      <c r="C961" s="590" t="s">
        <v>1256</v>
      </c>
      <c r="D961" s="531"/>
      <c r="E961" s="654">
        <v>876</v>
      </c>
      <c r="F961" s="578"/>
      <c r="G961" s="581"/>
      <c r="H961" s="580">
        <v>100</v>
      </c>
      <c r="I961" s="528"/>
      <c r="J961" s="507">
        <f>10</f>
        <v>10</v>
      </c>
      <c r="K961" s="507">
        <f t="shared" si="219"/>
        <v>1000</v>
      </c>
      <c r="L961" s="521">
        <v>70</v>
      </c>
      <c r="M961" s="521">
        <f>8*$J$961</f>
        <v>80</v>
      </c>
      <c r="N961" s="521">
        <f>9*$J$961</f>
        <v>90</v>
      </c>
      <c r="O961" s="521">
        <f>8*$J$961</f>
        <v>80</v>
      </c>
      <c r="P961" s="521">
        <f>9*$J$961</f>
        <v>90</v>
      </c>
      <c r="Q961" s="521" t="s">
        <v>334</v>
      </c>
      <c r="R961" s="521" t="s">
        <v>334</v>
      </c>
      <c r="S961" s="521" t="s">
        <v>334</v>
      </c>
      <c r="T961" s="521" t="s">
        <v>334</v>
      </c>
      <c r="U961" s="521" t="s">
        <v>334</v>
      </c>
      <c r="V961" s="521" t="s">
        <v>334</v>
      </c>
      <c r="W961" s="521" t="s">
        <v>334</v>
      </c>
      <c r="X961" s="521">
        <f t="shared" si="224"/>
        <v>410</v>
      </c>
      <c r="Y961" s="508">
        <f>SUM(X961:X964)</f>
        <v>610</v>
      </c>
    </row>
    <row r="962" spans="1:25" ht="90">
      <c r="A962" s="572"/>
      <c r="B962" s="529" t="s">
        <v>1421</v>
      </c>
      <c r="C962" s="590" t="s">
        <v>1259</v>
      </c>
      <c r="D962" s="531"/>
      <c r="E962" s="655"/>
      <c r="F962" s="578"/>
      <c r="G962" s="581"/>
      <c r="H962" s="580">
        <v>10</v>
      </c>
      <c r="I962" s="528"/>
      <c r="J962" s="507">
        <f>10</f>
        <v>10</v>
      </c>
      <c r="K962" s="507">
        <f t="shared" si="219"/>
        <v>100</v>
      </c>
      <c r="L962" s="521">
        <v>0</v>
      </c>
      <c r="M962" s="521">
        <f>1*$J$962</f>
        <v>10</v>
      </c>
      <c r="N962" s="521">
        <f>1*$J$962</f>
        <v>10</v>
      </c>
      <c r="O962" s="521">
        <f>1*$J$962</f>
        <v>10</v>
      </c>
      <c r="P962" s="521">
        <f>1*$J$962</f>
        <v>10</v>
      </c>
      <c r="Q962" s="521" t="s">
        <v>334</v>
      </c>
      <c r="R962" s="521" t="s">
        <v>334</v>
      </c>
      <c r="S962" s="521" t="s">
        <v>334</v>
      </c>
      <c r="T962" s="521" t="s">
        <v>334</v>
      </c>
      <c r="U962" s="521" t="s">
        <v>334</v>
      </c>
      <c r="V962" s="521" t="s">
        <v>334</v>
      </c>
      <c r="W962" s="521" t="s">
        <v>334</v>
      </c>
      <c r="X962" s="521">
        <f t="shared" si="224"/>
        <v>40</v>
      </c>
      <c r="Y962" s="508"/>
    </row>
    <row r="963" spans="1:25" ht="195">
      <c r="A963" s="572"/>
      <c r="B963" s="529" t="s">
        <v>1422</v>
      </c>
      <c r="C963" s="590" t="s">
        <v>1256</v>
      </c>
      <c r="D963" s="531"/>
      <c r="E963" s="654">
        <v>876</v>
      </c>
      <c r="F963" s="578"/>
      <c r="G963" s="581"/>
      <c r="H963" s="580">
        <v>30</v>
      </c>
      <c r="I963" s="528"/>
      <c r="J963" s="507">
        <f>10</f>
        <v>10</v>
      </c>
      <c r="K963" s="507">
        <f t="shared" si="219"/>
        <v>300</v>
      </c>
      <c r="L963" s="521">
        <v>30</v>
      </c>
      <c r="M963" s="521">
        <f>2*$J$963</f>
        <v>20</v>
      </c>
      <c r="N963" s="521">
        <f>3*$J$963</f>
        <v>30</v>
      </c>
      <c r="O963" s="521">
        <f>2*$J$963</f>
        <v>20</v>
      </c>
      <c r="P963" s="521">
        <f>2*$J$963</f>
        <v>20</v>
      </c>
      <c r="Q963" s="521" t="s">
        <v>334</v>
      </c>
      <c r="R963" s="521" t="s">
        <v>334</v>
      </c>
      <c r="S963" s="521" t="s">
        <v>334</v>
      </c>
      <c r="T963" s="521" t="s">
        <v>334</v>
      </c>
      <c r="U963" s="521" t="s">
        <v>334</v>
      </c>
      <c r="V963" s="521" t="s">
        <v>334</v>
      </c>
      <c r="W963" s="521" t="s">
        <v>334</v>
      </c>
      <c r="X963" s="521">
        <f t="shared" si="224"/>
        <v>120</v>
      </c>
      <c r="Y963" s="508"/>
    </row>
    <row r="964" spans="1:25" ht="195">
      <c r="A964" s="572"/>
      <c r="B964" s="529" t="s">
        <v>1422</v>
      </c>
      <c r="C964" s="590" t="s">
        <v>1259</v>
      </c>
      <c r="D964" s="531"/>
      <c r="E964" s="655"/>
      <c r="F964" s="578"/>
      <c r="G964" s="581"/>
      <c r="H964" s="580">
        <v>10</v>
      </c>
      <c r="I964" s="528"/>
      <c r="J964" s="507">
        <f>10</f>
        <v>10</v>
      </c>
      <c r="K964" s="507">
        <f t="shared" si="219"/>
        <v>100</v>
      </c>
      <c r="L964" s="521">
        <v>0</v>
      </c>
      <c r="M964" s="521">
        <f>1*$J$964</f>
        <v>10</v>
      </c>
      <c r="N964" s="521">
        <f>1*$J$964</f>
        <v>10</v>
      </c>
      <c r="O964" s="521">
        <f>1*$J$964</f>
        <v>10</v>
      </c>
      <c r="P964" s="521">
        <f>1*$J$964</f>
        <v>10</v>
      </c>
      <c r="Q964" s="521" t="s">
        <v>334</v>
      </c>
      <c r="R964" s="521" t="s">
        <v>334</v>
      </c>
      <c r="S964" s="521" t="s">
        <v>334</v>
      </c>
      <c r="T964" s="521" t="s">
        <v>334</v>
      </c>
      <c r="U964" s="521" t="s">
        <v>334</v>
      </c>
      <c r="V964" s="521" t="s">
        <v>334</v>
      </c>
      <c r="W964" s="521" t="s">
        <v>334</v>
      </c>
      <c r="X964" s="521">
        <f t="shared" si="224"/>
        <v>40</v>
      </c>
      <c r="Y964" s="508"/>
    </row>
    <row r="965" spans="1:25">
      <c r="A965" s="515" t="s">
        <v>1264</v>
      </c>
      <c r="B965" s="516"/>
      <c r="C965" s="516"/>
      <c r="D965" s="582"/>
      <c r="E965" s="538"/>
      <c r="F965" s="515"/>
      <c r="G965" s="546"/>
      <c r="H965" s="538"/>
      <c r="I965" s="520"/>
      <c r="J965" s="507"/>
      <c r="K965" s="507">
        <f t="shared" si="219"/>
        <v>0</v>
      </c>
      <c r="L965" s="521"/>
      <c r="M965" s="521"/>
      <c r="N965" s="521"/>
      <c r="O965" s="521"/>
      <c r="P965" s="521"/>
      <c r="Q965" s="521"/>
      <c r="R965" s="521"/>
      <c r="S965" s="521"/>
      <c r="T965" s="521"/>
      <c r="U965" s="521"/>
      <c r="V965" s="521"/>
      <c r="W965" s="521"/>
      <c r="X965" s="521">
        <f t="shared" si="224"/>
        <v>0</v>
      </c>
      <c r="Y965" s="508"/>
    </row>
    <row r="966" spans="1:25" ht="120">
      <c r="A966" s="515"/>
      <c r="B966" s="537" t="s">
        <v>1423</v>
      </c>
      <c r="C966" s="538" t="s">
        <v>1267</v>
      </c>
      <c r="D966" s="516"/>
      <c r="E966" s="538"/>
      <c r="F966" s="597"/>
      <c r="G966" s="546"/>
      <c r="H966" s="538">
        <v>150</v>
      </c>
      <c r="I966" s="520"/>
      <c r="J966" s="507">
        <f>10*1.1</f>
        <v>11</v>
      </c>
      <c r="K966" s="507">
        <f t="shared" si="219"/>
        <v>1650</v>
      </c>
      <c r="L966" s="521" t="s">
        <v>334</v>
      </c>
      <c r="M966" s="521" t="s">
        <v>334</v>
      </c>
      <c r="N966" s="521" t="s">
        <v>334</v>
      </c>
      <c r="O966" s="521" t="s">
        <v>334</v>
      </c>
      <c r="P966" s="521"/>
      <c r="Q966" s="521">
        <f>13*$J$966</f>
        <v>143</v>
      </c>
      <c r="R966" s="521">
        <f>13*$J$966</f>
        <v>143</v>
      </c>
      <c r="S966" s="521">
        <f>13*$J$966</f>
        <v>143</v>
      </c>
      <c r="T966" s="521">
        <f>12*$J$966</f>
        <v>132</v>
      </c>
      <c r="U966" s="521">
        <f>13*$J$966</f>
        <v>143</v>
      </c>
      <c r="V966" s="521">
        <f>12*$J$966</f>
        <v>132</v>
      </c>
      <c r="W966" s="521">
        <f>12*$J$966</f>
        <v>132</v>
      </c>
      <c r="X966" s="521">
        <f t="shared" si="224"/>
        <v>968</v>
      </c>
      <c r="Y966" s="508">
        <f>SUM(X966:X971)</f>
        <v>2117.0280000000002</v>
      </c>
    </row>
    <row r="967" spans="1:25" ht="120">
      <c r="A967" s="515"/>
      <c r="B967" s="537" t="s">
        <v>1423</v>
      </c>
      <c r="C967" s="538" t="s">
        <v>1268</v>
      </c>
      <c r="D967" s="516"/>
      <c r="E967" s="538"/>
      <c r="F967" s="597"/>
      <c r="G967" s="546"/>
      <c r="H967" s="538">
        <v>50</v>
      </c>
      <c r="I967" s="520"/>
      <c r="J967" s="507">
        <f>10*1.1</f>
        <v>11</v>
      </c>
      <c r="K967" s="507">
        <f t="shared" si="219"/>
        <v>550</v>
      </c>
      <c r="L967" s="521" t="s">
        <v>334</v>
      </c>
      <c r="M967" s="521" t="s">
        <v>334</v>
      </c>
      <c r="N967" s="521" t="s">
        <v>334</v>
      </c>
      <c r="O967" s="521" t="s">
        <v>334</v>
      </c>
      <c r="P967" s="521"/>
      <c r="Q967" s="521">
        <f t="shared" ref="Q967:W967" si="226">4*$J$967</f>
        <v>44</v>
      </c>
      <c r="R967" s="521">
        <f t="shared" si="226"/>
        <v>44</v>
      </c>
      <c r="S967" s="521">
        <f t="shared" si="226"/>
        <v>44</v>
      </c>
      <c r="T967" s="521">
        <f t="shared" si="226"/>
        <v>44</v>
      </c>
      <c r="U967" s="521">
        <f t="shared" si="226"/>
        <v>44</v>
      </c>
      <c r="V967" s="521">
        <f t="shared" si="226"/>
        <v>44</v>
      </c>
      <c r="W967" s="521">
        <f t="shared" si="226"/>
        <v>44</v>
      </c>
      <c r="X967" s="521">
        <f t="shared" si="224"/>
        <v>308</v>
      </c>
      <c r="Y967" s="508"/>
    </row>
    <row r="968" spans="1:25" ht="120">
      <c r="A968" s="515"/>
      <c r="B968" s="537" t="s">
        <v>1423</v>
      </c>
      <c r="C968" s="538" t="s">
        <v>1269</v>
      </c>
      <c r="D968" s="516"/>
      <c r="E968" s="538"/>
      <c r="F968" s="597"/>
      <c r="G968" s="546"/>
      <c r="H968" s="538">
        <v>15</v>
      </c>
      <c r="I968" s="520"/>
      <c r="J968" s="507">
        <f>37.5*1.2</f>
        <v>45</v>
      </c>
      <c r="K968" s="507">
        <f t="shared" si="219"/>
        <v>675</v>
      </c>
      <c r="L968" s="521" t="s">
        <v>334</v>
      </c>
      <c r="M968" s="521" t="s">
        <v>334</v>
      </c>
      <c r="N968" s="521" t="s">
        <v>334</v>
      </c>
      <c r="O968" s="521" t="s">
        <v>334</v>
      </c>
      <c r="P968" s="521"/>
      <c r="Q968" s="521">
        <f>1*$J$967</f>
        <v>11</v>
      </c>
      <c r="R968" s="521">
        <f>1*$J$967</f>
        <v>11</v>
      </c>
      <c r="S968" s="521">
        <f>2*$J$967</f>
        <v>22</v>
      </c>
      <c r="T968" s="521">
        <f>1*$J$967</f>
        <v>11</v>
      </c>
      <c r="U968" s="521">
        <f>1*$J$967</f>
        <v>11</v>
      </c>
      <c r="V968" s="521">
        <f>2*$J$967</f>
        <v>22</v>
      </c>
      <c r="W968" s="521">
        <f>1*$J$967</f>
        <v>11</v>
      </c>
      <c r="X968" s="521">
        <f t="shared" si="224"/>
        <v>99</v>
      </c>
      <c r="Y968" s="508"/>
    </row>
    <row r="969" spans="1:25" ht="210">
      <c r="A969" s="515"/>
      <c r="B969" s="537" t="s">
        <v>1424</v>
      </c>
      <c r="C969" s="538" t="s">
        <v>1267</v>
      </c>
      <c r="D969" s="516"/>
      <c r="E969" s="538"/>
      <c r="F969" s="597"/>
      <c r="G969" s="546"/>
      <c r="H969" s="538">
        <v>40</v>
      </c>
      <c r="I969" s="520"/>
      <c r="J969" s="507">
        <f>10*1.1</f>
        <v>11</v>
      </c>
      <c r="K969" s="507">
        <f t="shared" si="219"/>
        <v>440</v>
      </c>
      <c r="L969" s="521" t="s">
        <v>334</v>
      </c>
      <c r="M969" s="521" t="s">
        <v>334</v>
      </c>
      <c r="N969" s="521" t="s">
        <v>334</v>
      </c>
      <c r="O969" s="521" t="s">
        <v>334</v>
      </c>
      <c r="P969" s="521">
        <f>3*$J$969</f>
        <v>33</v>
      </c>
      <c r="Q969" s="521">
        <f>3*$J$969</f>
        <v>33</v>
      </c>
      <c r="R969" s="521">
        <f>3*$J$969</f>
        <v>33</v>
      </c>
      <c r="S969" s="521">
        <f>2*$J$969</f>
        <v>22</v>
      </c>
      <c r="T969" s="521">
        <f>2*$J$969</f>
        <v>22</v>
      </c>
      <c r="U969" s="521">
        <f>2*$J$969</f>
        <v>22</v>
      </c>
      <c r="V969" s="521">
        <f>3*$J$969</f>
        <v>33</v>
      </c>
      <c r="W969" s="521">
        <f>3*$J$969</f>
        <v>33</v>
      </c>
      <c r="X969" s="521">
        <f t="shared" si="224"/>
        <v>231</v>
      </c>
      <c r="Y969" s="508"/>
    </row>
    <row r="970" spans="1:25" ht="210">
      <c r="A970" s="515"/>
      <c r="B970" s="537" t="s">
        <v>1424</v>
      </c>
      <c r="C970" s="538" t="s">
        <v>1268</v>
      </c>
      <c r="D970" s="516"/>
      <c r="E970" s="538"/>
      <c r="F970" s="597"/>
      <c r="G970" s="546"/>
      <c r="H970" s="538">
        <v>15</v>
      </c>
      <c r="I970" s="520"/>
      <c r="J970" s="507">
        <f>10*1.1</f>
        <v>11</v>
      </c>
      <c r="K970" s="507">
        <f t="shared" si="219"/>
        <v>165</v>
      </c>
      <c r="L970" s="521" t="s">
        <v>334</v>
      </c>
      <c r="M970" s="521" t="s">
        <v>334</v>
      </c>
      <c r="N970" s="521" t="s">
        <v>334</v>
      </c>
      <c r="O970" s="521" t="s">
        <v>334</v>
      </c>
      <c r="P970" s="521">
        <f t="shared" ref="P970:V970" si="227">1*$J$970</f>
        <v>11</v>
      </c>
      <c r="Q970" s="521">
        <f t="shared" si="227"/>
        <v>11</v>
      </c>
      <c r="R970" s="521">
        <f t="shared" si="227"/>
        <v>11</v>
      </c>
      <c r="S970" s="521">
        <f t="shared" si="227"/>
        <v>11</v>
      </c>
      <c r="T970" s="521">
        <f t="shared" si="227"/>
        <v>11</v>
      </c>
      <c r="U970" s="521">
        <f t="shared" si="227"/>
        <v>11</v>
      </c>
      <c r="V970" s="521">
        <f t="shared" si="227"/>
        <v>11</v>
      </c>
      <c r="W970" s="521">
        <f>0*$J$970</f>
        <v>0</v>
      </c>
      <c r="X970" s="521">
        <f t="shared" si="224"/>
        <v>77</v>
      </c>
      <c r="Y970" s="508"/>
    </row>
    <row r="971" spans="1:25" ht="210">
      <c r="A971" s="515"/>
      <c r="B971" s="537" t="s">
        <v>1424</v>
      </c>
      <c r="C971" s="538" t="s">
        <v>1269</v>
      </c>
      <c r="D971" s="516"/>
      <c r="E971" s="538"/>
      <c r="F971" s="597"/>
      <c r="G971" s="546"/>
      <c r="H971" s="538">
        <v>10</v>
      </c>
      <c r="I971" s="520"/>
      <c r="J971" s="507">
        <f>51.67*1.2</f>
        <v>62.003999999999998</v>
      </c>
      <c r="K971" s="507">
        <f t="shared" si="219"/>
        <v>620.04</v>
      </c>
      <c r="L971" s="521" t="s">
        <v>334</v>
      </c>
      <c r="M971" s="521" t="s">
        <v>334</v>
      </c>
      <c r="N971" s="521" t="s">
        <v>334</v>
      </c>
      <c r="O971" s="521" t="s">
        <v>334</v>
      </c>
      <c r="P971" s="521">
        <f t="shared" ref="P971:V971" si="228">1*$J$971</f>
        <v>62.003999999999998</v>
      </c>
      <c r="Q971" s="521">
        <f t="shared" si="228"/>
        <v>62.003999999999998</v>
      </c>
      <c r="R971" s="521">
        <f t="shared" si="228"/>
        <v>62.003999999999998</v>
      </c>
      <c r="S971" s="521">
        <f t="shared" si="228"/>
        <v>62.003999999999998</v>
      </c>
      <c r="T971" s="521">
        <f t="shared" si="228"/>
        <v>62.003999999999998</v>
      </c>
      <c r="U971" s="521">
        <f t="shared" si="228"/>
        <v>62.003999999999998</v>
      </c>
      <c r="V971" s="521">
        <f t="shared" si="228"/>
        <v>62.003999999999998</v>
      </c>
      <c r="W971" s="521">
        <f>0*$J$971</f>
        <v>0</v>
      </c>
      <c r="X971" s="521">
        <f t="shared" si="224"/>
        <v>434.02800000000002</v>
      </c>
      <c r="Y971" s="508"/>
    </row>
    <row r="972" spans="1:25">
      <c r="A972" s="509" t="s">
        <v>1021</v>
      </c>
      <c r="B972" s="510"/>
      <c r="C972" s="510"/>
      <c r="D972" s="510"/>
      <c r="E972" s="551"/>
      <c r="F972" s="509"/>
      <c r="G972" s="552"/>
      <c r="H972" s="551"/>
      <c r="I972" s="514"/>
      <c r="J972" s="507"/>
      <c r="K972" s="507">
        <f t="shared" si="219"/>
        <v>0</v>
      </c>
      <c r="L972" s="497">
        <f t="shared" ref="L972:W972" si="229">SUM(L973:L979)</f>
        <v>0</v>
      </c>
      <c r="M972" s="497">
        <f t="shared" si="229"/>
        <v>0</v>
      </c>
      <c r="N972" s="497">
        <f t="shared" si="229"/>
        <v>0</v>
      </c>
      <c r="O972" s="497">
        <f t="shared" si="229"/>
        <v>0</v>
      </c>
      <c r="P972" s="497">
        <f t="shared" si="229"/>
        <v>0</v>
      </c>
      <c r="Q972" s="497">
        <f t="shared" si="229"/>
        <v>0</v>
      </c>
      <c r="R972" s="497">
        <f t="shared" si="229"/>
        <v>0</v>
      </c>
      <c r="S972" s="497">
        <f t="shared" si="229"/>
        <v>0</v>
      </c>
      <c r="T972" s="497">
        <f t="shared" si="229"/>
        <v>0</v>
      </c>
      <c r="U972" s="497">
        <f t="shared" si="229"/>
        <v>0</v>
      </c>
      <c r="V972" s="497">
        <f t="shared" si="229"/>
        <v>0</v>
      </c>
      <c r="W972" s="497">
        <f t="shared" si="229"/>
        <v>0</v>
      </c>
      <c r="X972" s="497">
        <f t="shared" si="224"/>
        <v>0</v>
      </c>
      <c r="Y972" s="508"/>
    </row>
    <row r="973" spans="1:25">
      <c r="A973" s="555" t="s">
        <v>1425</v>
      </c>
      <c r="B973" s="558"/>
      <c r="C973" s="558"/>
      <c r="D973" s="558"/>
      <c r="E973" s="559"/>
      <c r="F973" s="555"/>
      <c r="G973" s="556"/>
      <c r="H973" s="559"/>
      <c r="I973" s="561"/>
      <c r="J973" s="507"/>
      <c r="K973" s="507">
        <f t="shared" si="219"/>
        <v>0</v>
      </c>
      <c r="L973" s="521"/>
      <c r="M973" s="560"/>
      <c r="N973" s="560"/>
      <c r="O973" s="560"/>
      <c r="P973" s="560"/>
      <c r="Q973" s="560"/>
      <c r="R973" s="560"/>
      <c r="S973" s="560"/>
      <c r="T973" s="560"/>
      <c r="U973" s="560"/>
      <c r="V973" s="560"/>
      <c r="W973" s="560"/>
      <c r="X973" s="521">
        <f t="shared" si="224"/>
        <v>0</v>
      </c>
      <c r="Y973" s="508"/>
    </row>
    <row r="974" spans="1:25">
      <c r="A974" s="555" t="s">
        <v>1426</v>
      </c>
      <c r="B974" s="558"/>
      <c r="C974" s="558"/>
      <c r="D974" s="558"/>
      <c r="E974" s="559"/>
      <c r="F974" s="555"/>
      <c r="G974" s="556"/>
      <c r="H974" s="559"/>
      <c r="I974" s="561"/>
      <c r="J974" s="507"/>
      <c r="K974" s="507">
        <f t="shared" si="219"/>
        <v>0</v>
      </c>
      <c r="L974" s="521"/>
      <c r="M974" s="560"/>
      <c r="N974" s="560"/>
      <c r="O974" s="560"/>
      <c r="P974" s="560"/>
      <c r="Q974" s="560"/>
      <c r="R974" s="560"/>
      <c r="S974" s="560"/>
      <c r="T974" s="560"/>
      <c r="U974" s="560"/>
      <c r="V974" s="560"/>
      <c r="W974" s="560"/>
      <c r="X974" s="521">
        <f t="shared" si="224"/>
        <v>0</v>
      </c>
      <c r="Y974" s="508"/>
    </row>
    <row r="975" spans="1:25">
      <c r="A975" s="555" t="s">
        <v>1427</v>
      </c>
      <c r="B975" s="558"/>
      <c r="C975" s="558"/>
      <c r="D975" s="558"/>
      <c r="E975" s="559"/>
      <c r="F975" s="555"/>
      <c r="G975" s="556"/>
      <c r="H975" s="559"/>
      <c r="I975" s="561"/>
      <c r="J975" s="507"/>
      <c r="K975" s="507">
        <f t="shared" si="219"/>
        <v>0</v>
      </c>
      <c r="L975" s="521"/>
      <c r="M975" s="560"/>
      <c r="N975" s="560"/>
      <c r="O975" s="560"/>
      <c r="P975" s="560"/>
      <c r="Q975" s="560"/>
      <c r="R975" s="560"/>
      <c r="S975" s="560"/>
      <c r="T975" s="560"/>
      <c r="U975" s="560"/>
      <c r="V975" s="560"/>
      <c r="W975" s="560"/>
      <c r="X975" s="521">
        <f t="shared" si="224"/>
        <v>0</v>
      </c>
      <c r="Y975" s="508"/>
    </row>
    <row r="976" spans="1:25">
      <c r="A976" s="555" t="s">
        <v>1428</v>
      </c>
      <c r="B976" s="558"/>
      <c r="C976" s="558"/>
      <c r="D976" s="558"/>
      <c r="E976" s="559"/>
      <c r="F976" s="555"/>
      <c r="G976" s="556"/>
      <c r="H976" s="559"/>
      <c r="I976" s="561"/>
      <c r="J976" s="507"/>
      <c r="K976" s="507">
        <f t="shared" ref="K976:K1007" si="230">H976*J976</f>
        <v>0</v>
      </c>
      <c r="L976" s="521"/>
      <c r="M976" s="560"/>
      <c r="N976" s="560"/>
      <c r="O976" s="560"/>
      <c r="P976" s="560"/>
      <c r="Q976" s="560"/>
      <c r="R976" s="560"/>
      <c r="S976" s="560"/>
      <c r="T976" s="560"/>
      <c r="U976" s="560"/>
      <c r="V976" s="560"/>
      <c r="W976" s="560"/>
      <c r="X976" s="521">
        <f t="shared" si="224"/>
        <v>0</v>
      </c>
      <c r="Y976" s="508"/>
    </row>
    <row r="977" spans="1:25">
      <c r="A977" s="555" t="s">
        <v>1429</v>
      </c>
      <c r="B977" s="558"/>
      <c r="C977" s="558"/>
      <c r="D977" s="558"/>
      <c r="E977" s="559"/>
      <c r="F977" s="555"/>
      <c r="G977" s="556"/>
      <c r="H977" s="559"/>
      <c r="I977" s="561"/>
      <c r="J977" s="507"/>
      <c r="K977" s="507">
        <f t="shared" si="230"/>
        <v>0</v>
      </c>
      <c r="L977" s="521"/>
      <c r="M977" s="560"/>
      <c r="N977" s="560"/>
      <c r="O977" s="560"/>
      <c r="P977" s="560"/>
      <c r="Q977" s="560"/>
      <c r="R977" s="560"/>
      <c r="S977" s="560"/>
      <c r="T977" s="560"/>
      <c r="U977" s="560"/>
      <c r="V977" s="560"/>
      <c r="W977" s="560"/>
      <c r="X977" s="521">
        <f t="shared" si="224"/>
        <v>0</v>
      </c>
      <c r="Y977" s="508"/>
    </row>
    <row r="978" spans="1:25">
      <c r="A978" s="555" t="s">
        <v>1429</v>
      </c>
      <c r="B978" s="558"/>
      <c r="C978" s="558"/>
      <c r="D978" s="558"/>
      <c r="E978" s="559"/>
      <c r="F978" s="555"/>
      <c r="G978" s="556"/>
      <c r="H978" s="559"/>
      <c r="I978" s="561"/>
      <c r="J978" s="507"/>
      <c r="K978" s="507">
        <f t="shared" si="230"/>
        <v>0</v>
      </c>
      <c r="L978" s="521"/>
      <c r="M978" s="560"/>
      <c r="N978" s="560"/>
      <c r="O978" s="560"/>
      <c r="P978" s="560"/>
      <c r="Q978" s="560"/>
      <c r="R978" s="560"/>
      <c r="S978" s="560"/>
      <c r="T978" s="560"/>
      <c r="U978" s="560"/>
      <c r="V978" s="560"/>
      <c r="W978" s="560"/>
      <c r="X978" s="521">
        <f t="shared" si="224"/>
        <v>0</v>
      </c>
      <c r="Y978" s="508"/>
    </row>
    <row r="979" spans="1:25">
      <c r="A979" s="555"/>
      <c r="B979" s="558"/>
      <c r="C979" s="558"/>
      <c r="D979" s="558"/>
      <c r="E979" s="559"/>
      <c r="F979" s="555"/>
      <c r="G979" s="556"/>
      <c r="H979" s="559"/>
      <c r="I979" s="561"/>
      <c r="J979" s="507"/>
      <c r="K979" s="507">
        <f t="shared" si="230"/>
        <v>0</v>
      </c>
      <c r="L979" s="521"/>
      <c r="M979" s="560"/>
      <c r="N979" s="560"/>
      <c r="O979" s="560"/>
      <c r="P979" s="560"/>
      <c r="Q979" s="560"/>
      <c r="R979" s="560"/>
      <c r="S979" s="560"/>
      <c r="T979" s="560"/>
      <c r="U979" s="560"/>
      <c r="V979" s="560"/>
      <c r="W979" s="560"/>
      <c r="X979" s="521">
        <f t="shared" si="224"/>
        <v>0</v>
      </c>
      <c r="Y979" s="508"/>
    </row>
    <row r="980" spans="1:25">
      <c r="A980" s="509" t="s">
        <v>569</v>
      </c>
      <c r="B980" s="510"/>
      <c r="C980" s="510"/>
      <c r="D980" s="510"/>
      <c r="E980" s="551"/>
      <c r="F980" s="509"/>
      <c r="G980" s="552"/>
      <c r="H980" s="551"/>
      <c r="I980" s="514"/>
      <c r="J980" s="507"/>
      <c r="K980" s="507">
        <f t="shared" si="230"/>
        <v>0</v>
      </c>
      <c r="L980" s="497">
        <f t="shared" ref="L980:W980" si="231">SUM(L981)</f>
        <v>0</v>
      </c>
      <c r="M980" s="497">
        <f t="shared" si="231"/>
        <v>0</v>
      </c>
      <c r="N980" s="497">
        <f t="shared" si="231"/>
        <v>0</v>
      </c>
      <c r="O980" s="497">
        <f t="shared" si="231"/>
        <v>0</v>
      </c>
      <c r="P980" s="497">
        <f t="shared" si="231"/>
        <v>0</v>
      </c>
      <c r="Q980" s="497">
        <f t="shared" si="231"/>
        <v>0</v>
      </c>
      <c r="R980" s="497">
        <f t="shared" si="231"/>
        <v>0</v>
      </c>
      <c r="S980" s="497">
        <f t="shared" si="231"/>
        <v>0</v>
      </c>
      <c r="T980" s="497">
        <f t="shared" si="231"/>
        <v>0</v>
      </c>
      <c r="U980" s="497">
        <f t="shared" si="231"/>
        <v>0</v>
      </c>
      <c r="V980" s="497">
        <f t="shared" si="231"/>
        <v>0</v>
      </c>
      <c r="W980" s="497">
        <f t="shared" si="231"/>
        <v>0</v>
      </c>
      <c r="X980" s="497">
        <f t="shared" si="224"/>
        <v>0</v>
      </c>
      <c r="Y980" s="508"/>
    </row>
    <row r="981" spans="1:25">
      <c r="A981" s="515" t="s">
        <v>570</v>
      </c>
      <c r="B981" s="516"/>
      <c r="C981" s="516"/>
      <c r="D981" s="516"/>
      <c r="E981" s="538"/>
      <c r="F981" s="515"/>
      <c r="G981" s="546"/>
      <c r="H981" s="538"/>
      <c r="I981" s="520"/>
      <c r="J981" s="507"/>
      <c r="K981" s="507">
        <f t="shared" si="230"/>
        <v>0</v>
      </c>
      <c r="L981" s="521">
        <v>0</v>
      </c>
      <c r="M981" s="521">
        <v>0</v>
      </c>
      <c r="N981" s="521">
        <v>0</v>
      </c>
      <c r="O981" s="521">
        <v>0</v>
      </c>
      <c r="P981" s="521">
        <v>0</v>
      </c>
      <c r="Q981" s="521">
        <v>0</v>
      </c>
      <c r="R981" s="521">
        <v>0</v>
      </c>
      <c r="S981" s="521">
        <v>0</v>
      </c>
      <c r="T981" s="521">
        <v>0</v>
      </c>
      <c r="U981" s="521">
        <v>0</v>
      </c>
      <c r="V981" s="521">
        <v>0</v>
      </c>
      <c r="W981" s="521">
        <v>0</v>
      </c>
      <c r="X981" s="521">
        <f t="shared" si="224"/>
        <v>0</v>
      </c>
      <c r="Y981" s="508"/>
    </row>
    <row r="982" spans="1:25">
      <c r="A982" s="501" t="s">
        <v>571</v>
      </c>
      <c r="B982" s="502"/>
      <c r="C982" s="502"/>
      <c r="D982" s="502"/>
      <c r="E982" s="549"/>
      <c r="F982" s="501"/>
      <c r="G982" s="550"/>
      <c r="H982" s="549"/>
      <c r="I982" s="506"/>
      <c r="J982" s="507"/>
      <c r="K982" s="507">
        <f t="shared" si="230"/>
        <v>0</v>
      </c>
      <c r="L982" s="507">
        <f t="shared" ref="L982:X982" si="232">L983+L987+L991+L992</f>
        <v>0</v>
      </c>
      <c r="M982" s="507">
        <f t="shared" si="232"/>
        <v>0</v>
      </c>
      <c r="N982" s="507">
        <f t="shared" si="232"/>
        <v>0</v>
      </c>
      <c r="O982" s="507">
        <f t="shared" si="232"/>
        <v>0</v>
      </c>
      <c r="P982" s="507">
        <f t="shared" si="232"/>
        <v>0</v>
      </c>
      <c r="Q982" s="507">
        <f t="shared" si="232"/>
        <v>0</v>
      </c>
      <c r="R982" s="507">
        <f t="shared" si="232"/>
        <v>0</v>
      </c>
      <c r="S982" s="507">
        <f t="shared" si="232"/>
        <v>0</v>
      </c>
      <c r="T982" s="507">
        <f t="shared" si="232"/>
        <v>0</v>
      </c>
      <c r="U982" s="507">
        <f t="shared" si="232"/>
        <v>0</v>
      </c>
      <c r="V982" s="507">
        <f t="shared" si="232"/>
        <v>0</v>
      </c>
      <c r="W982" s="507">
        <f t="shared" si="232"/>
        <v>0</v>
      </c>
      <c r="X982" s="507">
        <f t="shared" si="232"/>
        <v>0</v>
      </c>
      <c r="Y982" s="508"/>
    </row>
    <row r="983" spans="1:25">
      <c r="A983" s="509" t="s">
        <v>572</v>
      </c>
      <c r="B983" s="510"/>
      <c r="C983" s="510"/>
      <c r="D983" s="510"/>
      <c r="E983" s="551"/>
      <c r="F983" s="509"/>
      <c r="G983" s="552"/>
      <c r="H983" s="551"/>
      <c r="I983" s="514"/>
      <c r="J983" s="507"/>
      <c r="K983" s="507">
        <f t="shared" si="230"/>
        <v>0</v>
      </c>
      <c r="L983" s="497">
        <f t="shared" ref="L983:W983" si="233">SUM(L984:L986)</f>
        <v>0</v>
      </c>
      <c r="M983" s="497">
        <f t="shared" si="233"/>
        <v>0</v>
      </c>
      <c r="N983" s="497">
        <f t="shared" si="233"/>
        <v>0</v>
      </c>
      <c r="O983" s="497">
        <f t="shared" si="233"/>
        <v>0</v>
      </c>
      <c r="P983" s="497">
        <f t="shared" si="233"/>
        <v>0</v>
      </c>
      <c r="Q983" s="497">
        <f t="shared" si="233"/>
        <v>0</v>
      </c>
      <c r="R983" s="497">
        <f t="shared" si="233"/>
        <v>0</v>
      </c>
      <c r="S983" s="497">
        <f t="shared" si="233"/>
        <v>0</v>
      </c>
      <c r="T983" s="497">
        <f t="shared" si="233"/>
        <v>0</v>
      </c>
      <c r="U983" s="497">
        <f t="shared" si="233"/>
        <v>0</v>
      </c>
      <c r="V983" s="497">
        <f t="shared" si="233"/>
        <v>0</v>
      </c>
      <c r="W983" s="497">
        <f t="shared" si="233"/>
        <v>0</v>
      </c>
      <c r="X983" s="497">
        <f>SUM(L983:W983)</f>
        <v>0</v>
      </c>
      <c r="Y983" s="508"/>
    </row>
    <row r="984" spans="1:25">
      <c r="A984" s="515" t="s">
        <v>573</v>
      </c>
      <c r="B984" s="516"/>
      <c r="C984" s="516"/>
      <c r="D984" s="516"/>
      <c r="E984" s="538"/>
      <c r="F984" s="515"/>
      <c r="G984" s="546"/>
      <c r="H984" s="538"/>
      <c r="I984" s="520"/>
      <c r="J984" s="507"/>
      <c r="K984" s="507">
        <f t="shared" si="230"/>
        <v>0</v>
      </c>
      <c r="L984" s="521"/>
      <c r="M984" s="521"/>
      <c r="N984" s="521"/>
      <c r="O984" s="521"/>
      <c r="P984" s="521"/>
      <c r="Q984" s="521"/>
      <c r="R984" s="521"/>
      <c r="S984" s="521"/>
      <c r="T984" s="521"/>
      <c r="U984" s="521"/>
      <c r="V984" s="521"/>
      <c r="W984" s="521"/>
      <c r="X984" s="521">
        <f>SUM(L984:W984)</f>
        <v>0</v>
      </c>
      <c r="Y984" s="508"/>
    </row>
    <row r="985" spans="1:25">
      <c r="A985" s="515" t="s">
        <v>574</v>
      </c>
      <c r="B985" s="516"/>
      <c r="C985" s="516"/>
      <c r="D985" s="516"/>
      <c r="E985" s="538"/>
      <c r="F985" s="515"/>
      <c r="G985" s="546"/>
      <c r="H985" s="538"/>
      <c r="I985" s="520"/>
      <c r="J985" s="507"/>
      <c r="K985" s="507">
        <f t="shared" si="230"/>
        <v>0</v>
      </c>
      <c r="L985" s="521"/>
      <c r="M985" s="521"/>
      <c r="N985" s="521"/>
      <c r="O985" s="521"/>
      <c r="P985" s="521"/>
      <c r="Q985" s="521"/>
      <c r="R985" s="521"/>
      <c r="S985" s="521"/>
      <c r="T985" s="521"/>
      <c r="U985" s="521"/>
      <c r="V985" s="521"/>
      <c r="W985" s="521"/>
      <c r="X985" s="521">
        <f>SUM(L985:W985)</f>
        <v>0</v>
      </c>
      <c r="Y985" s="508"/>
    </row>
    <row r="986" spans="1:25">
      <c r="A986" s="515" t="s">
        <v>575</v>
      </c>
      <c r="B986" s="516"/>
      <c r="C986" s="516"/>
      <c r="D986" s="516"/>
      <c r="E986" s="538"/>
      <c r="F986" s="515"/>
      <c r="G986" s="546"/>
      <c r="H986" s="538"/>
      <c r="I986" s="520"/>
      <c r="J986" s="507"/>
      <c r="K986" s="507">
        <f t="shared" si="230"/>
        <v>0</v>
      </c>
      <c r="L986" s="521"/>
      <c r="M986" s="521"/>
      <c r="N986" s="521"/>
      <c r="O986" s="521"/>
      <c r="P986" s="521"/>
      <c r="Q986" s="521"/>
      <c r="R986" s="521"/>
      <c r="S986" s="521"/>
      <c r="T986" s="521"/>
      <c r="U986" s="521"/>
      <c r="V986" s="521"/>
      <c r="W986" s="521"/>
      <c r="X986" s="521">
        <f>SUM(L986:W986)</f>
        <v>0</v>
      </c>
      <c r="Y986" s="508"/>
    </row>
    <row r="987" spans="1:25">
      <c r="A987" s="509" t="s">
        <v>576</v>
      </c>
      <c r="B987" s="510"/>
      <c r="C987" s="510"/>
      <c r="D987" s="510"/>
      <c r="E987" s="551"/>
      <c r="F987" s="509"/>
      <c r="G987" s="552"/>
      <c r="H987" s="551"/>
      <c r="I987" s="514"/>
      <c r="J987" s="507"/>
      <c r="K987" s="507">
        <f t="shared" si="230"/>
        <v>0</v>
      </c>
      <c r="L987" s="497">
        <f t="shared" ref="L987:X987" si="234">SUM(L988:L990)</f>
        <v>0</v>
      </c>
      <c r="M987" s="497">
        <f t="shared" si="234"/>
        <v>0</v>
      </c>
      <c r="N987" s="497">
        <f t="shared" si="234"/>
        <v>0</v>
      </c>
      <c r="O987" s="497">
        <f t="shared" si="234"/>
        <v>0</v>
      </c>
      <c r="P987" s="497">
        <f t="shared" si="234"/>
        <v>0</v>
      </c>
      <c r="Q987" s="497">
        <f t="shared" si="234"/>
        <v>0</v>
      </c>
      <c r="R987" s="497">
        <f t="shared" si="234"/>
        <v>0</v>
      </c>
      <c r="S987" s="497">
        <f t="shared" si="234"/>
        <v>0</v>
      </c>
      <c r="T987" s="497">
        <f t="shared" si="234"/>
        <v>0</v>
      </c>
      <c r="U987" s="497">
        <f t="shared" si="234"/>
        <v>0</v>
      </c>
      <c r="V987" s="497">
        <f t="shared" si="234"/>
        <v>0</v>
      </c>
      <c r="W987" s="497">
        <f t="shared" si="234"/>
        <v>0</v>
      </c>
      <c r="X987" s="497">
        <f t="shared" si="234"/>
        <v>0</v>
      </c>
      <c r="Y987" s="508"/>
    </row>
    <row r="988" spans="1:25">
      <c r="A988" s="515" t="s">
        <v>577</v>
      </c>
      <c r="B988" s="516"/>
      <c r="C988" s="516"/>
      <c r="D988" s="516"/>
      <c r="E988" s="538"/>
      <c r="F988" s="515"/>
      <c r="G988" s="546"/>
      <c r="H988" s="538"/>
      <c r="I988" s="520"/>
      <c r="J988" s="507"/>
      <c r="K988" s="507">
        <f t="shared" si="230"/>
        <v>0</v>
      </c>
      <c r="L988" s="521"/>
      <c r="M988" s="521"/>
      <c r="N988" s="521"/>
      <c r="O988" s="521"/>
      <c r="P988" s="521"/>
      <c r="Q988" s="521"/>
      <c r="R988" s="521"/>
      <c r="S988" s="521"/>
      <c r="T988" s="521"/>
      <c r="U988" s="521"/>
      <c r="V988" s="521"/>
      <c r="W988" s="521"/>
      <c r="X988" s="521">
        <f>L988+M988+N988+O988+P988+Q988+R988+S988+T988+U988+V988+W988</f>
        <v>0</v>
      </c>
      <c r="Y988" s="508"/>
    </row>
    <row r="989" spans="1:25">
      <c r="A989" s="515" t="s">
        <v>578</v>
      </c>
      <c r="B989" s="516"/>
      <c r="C989" s="516"/>
      <c r="D989" s="516"/>
      <c r="E989" s="538"/>
      <c r="F989" s="515"/>
      <c r="G989" s="546"/>
      <c r="H989" s="538"/>
      <c r="I989" s="520"/>
      <c r="J989" s="507"/>
      <c r="K989" s="507">
        <f t="shared" si="230"/>
        <v>0</v>
      </c>
      <c r="L989" s="521"/>
      <c r="M989" s="521"/>
      <c r="N989" s="521"/>
      <c r="O989" s="521"/>
      <c r="P989" s="521"/>
      <c r="Q989" s="521"/>
      <c r="R989" s="521"/>
      <c r="S989" s="521"/>
      <c r="T989" s="521"/>
      <c r="U989" s="521"/>
      <c r="V989" s="521"/>
      <c r="W989" s="521"/>
      <c r="X989" s="521">
        <f>SUM(L989:W989)</f>
        <v>0</v>
      </c>
      <c r="Y989" s="508"/>
    </row>
    <row r="990" spans="1:25">
      <c r="A990" s="515" t="s">
        <v>1430</v>
      </c>
      <c r="B990" s="516"/>
      <c r="C990" s="516"/>
      <c r="D990" s="516"/>
      <c r="E990" s="538"/>
      <c r="F990" s="515"/>
      <c r="G990" s="546"/>
      <c r="H990" s="538"/>
      <c r="I990" s="520"/>
      <c r="J990" s="507"/>
      <c r="K990" s="507">
        <f t="shared" si="230"/>
        <v>0</v>
      </c>
      <c r="L990" s="521"/>
      <c r="M990" s="521"/>
      <c r="N990" s="521"/>
      <c r="O990" s="521"/>
      <c r="P990" s="521"/>
      <c r="Q990" s="521"/>
      <c r="R990" s="521"/>
      <c r="S990" s="521"/>
      <c r="T990" s="521"/>
      <c r="U990" s="521"/>
      <c r="V990" s="521"/>
      <c r="W990" s="521"/>
      <c r="X990" s="521">
        <f>SUM(L990:W990)</f>
        <v>0</v>
      </c>
      <c r="Y990" s="508"/>
    </row>
    <row r="991" spans="1:25">
      <c r="A991" s="509" t="s">
        <v>1431</v>
      </c>
      <c r="B991" s="510"/>
      <c r="C991" s="510"/>
      <c r="D991" s="510"/>
      <c r="E991" s="551"/>
      <c r="F991" s="509"/>
      <c r="G991" s="552"/>
      <c r="H991" s="551"/>
      <c r="I991" s="514"/>
      <c r="J991" s="507"/>
      <c r="K991" s="507">
        <f t="shared" si="230"/>
        <v>0</v>
      </c>
      <c r="L991" s="497">
        <v>0</v>
      </c>
      <c r="M991" s="497">
        <v>0</v>
      </c>
      <c r="N991" s="497">
        <v>0</v>
      </c>
      <c r="O991" s="497">
        <v>0</v>
      </c>
      <c r="P991" s="497">
        <v>0</v>
      </c>
      <c r="Q991" s="497">
        <v>0</v>
      </c>
      <c r="R991" s="497">
        <v>0</v>
      </c>
      <c r="S991" s="497">
        <v>0</v>
      </c>
      <c r="T991" s="497">
        <v>0</v>
      </c>
      <c r="U991" s="497">
        <v>0</v>
      </c>
      <c r="V991" s="497">
        <v>0</v>
      </c>
      <c r="W991" s="497">
        <v>0</v>
      </c>
      <c r="X991" s="497">
        <f>SUM(L991:W991)</f>
        <v>0</v>
      </c>
      <c r="Y991" s="508"/>
    </row>
    <row r="992" spans="1:25">
      <c r="A992" s="509" t="s">
        <v>1432</v>
      </c>
      <c r="B992" s="510"/>
      <c r="C992" s="510"/>
      <c r="D992" s="510"/>
      <c r="E992" s="551"/>
      <c r="F992" s="509"/>
      <c r="G992" s="552"/>
      <c r="H992" s="551"/>
      <c r="I992" s="514"/>
      <c r="J992" s="507"/>
      <c r="K992" s="507">
        <f t="shared" si="230"/>
        <v>0</v>
      </c>
      <c r="L992" s="497">
        <v>0</v>
      </c>
      <c r="M992" s="497">
        <v>0</v>
      </c>
      <c r="N992" s="497">
        <v>0</v>
      </c>
      <c r="O992" s="497">
        <v>0</v>
      </c>
      <c r="P992" s="497">
        <v>0</v>
      </c>
      <c r="Q992" s="497">
        <v>0</v>
      </c>
      <c r="R992" s="497">
        <v>0</v>
      </c>
      <c r="S992" s="497">
        <v>0</v>
      </c>
      <c r="T992" s="497">
        <v>0</v>
      </c>
      <c r="U992" s="497">
        <v>0</v>
      </c>
      <c r="V992" s="497">
        <v>0</v>
      </c>
      <c r="W992" s="497">
        <v>0</v>
      </c>
      <c r="X992" s="497">
        <f>SUM(L992:W992)</f>
        <v>0</v>
      </c>
      <c r="Y992" s="508"/>
    </row>
    <row r="993" spans="1:25">
      <c r="A993" s="501" t="s">
        <v>1433</v>
      </c>
      <c r="B993" s="502"/>
      <c r="C993" s="502"/>
      <c r="D993" s="502"/>
      <c r="E993" s="549"/>
      <c r="F993" s="501"/>
      <c r="G993" s="550"/>
      <c r="H993" s="549"/>
      <c r="I993" s="506"/>
      <c r="J993" s="507"/>
      <c r="K993" s="507">
        <f t="shared" si="230"/>
        <v>0</v>
      </c>
      <c r="L993" s="507">
        <f t="shared" ref="L993:X993" si="235">L994+L995</f>
        <v>0</v>
      </c>
      <c r="M993" s="507">
        <f t="shared" si="235"/>
        <v>0</v>
      </c>
      <c r="N993" s="507">
        <f t="shared" si="235"/>
        <v>0</v>
      </c>
      <c r="O993" s="507">
        <f t="shared" si="235"/>
        <v>0</v>
      </c>
      <c r="P993" s="507">
        <f t="shared" si="235"/>
        <v>0</v>
      </c>
      <c r="Q993" s="507">
        <f t="shared" si="235"/>
        <v>0</v>
      </c>
      <c r="R993" s="507">
        <f t="shared" si="235"/>
        <v>0</v>
      </c>
      <c r="S993" s="507">
        <f t="shared" si="235"/>
        <v>0</v>
      </c>
      <c r="T993" s="507">
        <f t="shared" si="235"/>
        <v>0</v>
      </c>
      <c r="U993" s="507">
        <f t="shared" si="235"/>
        <v>0</v>
      </c>
      <c r="V993" s="507">
        <f t="shared" si="235"/>
        <v>0</v>
      </c>
      <c r="W993" s="507">
        <f t="shared" si="235"/>
        <v>0</v>
      </c>
      <c r="X993" s="507">
        <f t="shared" si="235"/>
        <v>0</v>
      </c>
      <c r="Y993" s="508"/>
    </row>
    <row r="994" spans="1:25">
      <c r="A994" s="509" t="s">
        <v>1434</v>
      </c>
      <c r="B994" s="510"/>
      <c r="C994" s="510"/>
      <c r="D994" s="510"/>
      <c r="E994" s="551"/>
      <c r="F994" s="509"/>
      <c r="G994" s="552"/>
      <c r="H994" s="551"/>
      <c r="I994" s="514"/>
      <c r="J994" s="507"/>
      <c r="K994" s="507">
        <f t="shared" si="230"/>
        <v>0</v>
      </c>
      <c r="L994" s="497">
        <v>0</v>
      </c>
      <c r="M994" s="497"/>
      <c r="N994" s="497"/>
      <c r="O994" s="497"/>
      <c r="P994" s="497"/>
      <c r="Q994" s="497"/>
      <c r="R994" s="497"/>
      <c r="S994" s="497"/>
      <c r="T994" s="497"/>
      <c r="U994" s="497"/>
      <c r="V994" s="497"/>
      <c r="W994" s="497"/>
      <c r="X994" s="497">
        <f>SUM(L994:W994)</f>
        <v>0</v>
      </c>
      <c r="Y994" s="508"/>
    </row>
    <row r="995" spans="1:25">
      <c r="A995" s="509" t="s">
        <v>1435</v>
      </c>
      <c r="B995" s="510"/>
      <c r="C995" s="510"/>
      <c r="D995" s="510"/>
      <c r="E995" s="551"/>
      <c r="F995" s="509"/>
      <c r="G995" s="552"/>
      <c r="H995" s="551"/>
      <c r="I995" s="514"/>
      <c r="J995" s="507"/>
      <c r="K995" s="507">
        <f t="shared" si="230"/>
        <v>0</v>
      </c>
      <c r="L995" s="497">
        <f t="shared" ref="L995:W995" si="236">SUM(L996:L997)</f>
        <v>0</v>
      </c>
      <c r="M995" s="497">
        <f t="shared" si="236"/>
        <v>0</v>
      </c>
      <c r="N995" s="497">
        <f t="shared" si="236"/>
        <v>0</v>
      </c>
      <c r="O995" s="497">
        <f t="shared" si="236"/>
        <v>0</v>
      </c>
      <c r="P995" s="497">
        <f t="shared" si="236"/>
        <v>0</v>
      </c>
      <c r="Q995" s="497">
        <f t="shared" si="236"/>
        <v>0</v>
      </c>
      <c r="R995" s="497">
        <f t="shared" si="236"/>
        <v>0</v>
      </c>
      <c r="S995" s="497">
        <f t="shared" si="236"/>
        <v>0</v>
      </c>
      <c r="T995" s="497">
        <f t="shared" si="236"/>
        <v>0</v>
      </c>
      <c r="U995" s="497">
        <f t="shared" si="236"/>
        <v>0</v>
      </c>
      <c r="V995" s="497">
        <f t="shared" si="236"/>
        <v>0</v>
      </c>
      <c r="W995" s="497">
        <f t="shared" si="236"/>
        <v>0</v>
      </c>
      <c r="X995" s="497">
        <f>SUM(L995:W995)</f>
        <v>0</v>
      </c>
      <c r="Y995" s="508"/>
    </row>
    <row r="996" spans="1:25">
      <c r="A996" s="515" t="s">
        <v>1044</v>
      </c>
      <c r="B996" s="516"/>
      <c r="C996" s="516"/>
      <c r="D996" s="516"/>
      <c r="E996" s="538"/>
      <c r="F996" s="515"/>
      <c r="G996" s="546"/>
      <c r="H996" s="538"/>
      <c r="I996" s="520"/>
      <c r="J996" s="507"/>
      <c r="K996" s="507">
        <f t="shared" si="230"/>
        <v>0</v>
      </c>
      <c r="L996" s="521"/>
      <c r="M996" s="521">
        <v>0</v>
      </c>
      <c r="N996" s="521">
        <v>0</v>
      </c>
      <c r="O996" s="521">
        <v>0</v>
      </c>
      <c r="P996" s="521">
        <v>0</v>
      </c>
      <c r="Q996" s="521">
        <v>0</v>
      </c>
      <c r="R996" s="521">
        <v>0</v>
      </c>
      <c r="S996" s="521">
        <v>0</v>
      </c>
      <c r="T996" s="521">
        <v>0</v>
      </c>
      <c r="U996" s="521">
        <v>0</v>
      </c>
      <c r="V996" s="521">
        <v>0</v>
      </c>
      <c r="W996" s="521">
        <v>0</v>
      </c>
      <c r="X996" s="521">
        <f>SUM(L996:W996)</f>
        <v>0</v>
      </c>
      <c r="Y996" s="508"/>
    </row>
    <row r="997" spans="1:25">
      <c r="A997" s="515"/>
      <c r="B997" s="516"/>
      <c r="C997" s="516"/>
      <c r="D997" s="516"/>
      <c r="E997" s="538"/>
      <c r="F997" s="515"/>
      <c r="G997" s="546"/>
      <c r="H997" s="538"/>
      <c r="I997" s="520"/>
      <c r="J997" s="507"/>
      <c r="K997" s="507">
        <f t="shared" si="230"/>
        <v>0</v>
      </c>
      <c r="L997" s="521"/>
      <c r="M997" s="521"/>
      <c r="N997" s="521"/>
      <c r="O997" s="521"/>
      <c r="P997" s="521"/>
      <c r="Q997" s="521"/>
      <c r="R997" s="521"/>
      <c r="S997" s="521"/>
      <c r="T997" s="521"/>
      <c r="U997" s="521"/>
      <c r="V997" s="521"/>
      <c r="W997" s="521"/>
      <c r="X997" s="521">
        <f>SUM(L997:W997)</f>
        <v>0</v>
      </c>
      <c r="Y997" s="508"/>
    </row>
    <row r="998" spans="1:25">
      <c r="A998" s="501" t="s">
        <v>1042</v>
      </c>
      <c r="B998" s="502"/>
      <c r="C998" s="502"/>
      <c r="D998" s="502"/>
      <c r="E998" s="549"/>
      <c r="F998" s="501"/>
      <c r="G998" s="550"/>
      <c r="H998" s="549"/>
      <c r="I998" s="506"/>
      <c r="J998" s="507"/>
      <c r="K998" s="507">
        <f t="shared" si="230"/>
        <v>0</v>
      </c>
      <c r="L998" s="507">
        <f t="shared" ref="L998:X998" si="237">SUM(L999:L999)</f>
        <v>0</v>
      </c>
      <c r="M998" s="507">
        <f t="shared" si="237"/>
        <v>0</v>
      </c>
      <c r="N998" s="507">
        <f t="shared" si="237"/>
        <v>0</v>
      </c>
      <c r="O998" s="507">
        <f t="shared" si="237"/>
        <v>0</v>
      </c>
      <c r="P998" s="507">
        <f t="shared" si="237"/>
        <v>0</v>
      </c>
      <c r="Q998" s="507">
        <f t="shared" si="237"/>
        <v>0</v>
      </c>
      <c r="R998" s="507">
        <f t="shared" si="237"/>
        <v>0</v>
      </c>
      <c r="S998" s="507">
        <f t="shared" si="237"/>
        <v>0</v>
      </c>
      <c r="T998" s="507">
        <f t="shared" si="237"/>
        <v>0</v>
      </c>
      <c r="U998" s="507">
        <f t="shared" si="237"/>
        <v>0</v>
      </c>
      <c r="V998" s="507">
        <f t="shared" si="237"/>
        <v>0</v>
      </c>
      <c r="W998" s="507">
        <f t="shared" si="237"/>
        <v>0</v>
      </c>
      <c r="X998" s="507">
        <f t="shared" si="237"/>
        <v>0</v>
      </c>
      <c r="Y998" s="508"/>
    </row>
    <row r="999" spans="1:25" ht="30">
      <c r="A999" s="598" t="s">
        <v>1436</v>
      </c>
      <c r="B999" s="599"/>
      <c r="C999" s="599"/>
      <c r="D999" s="599"/>
      <c r="E999" s="600"/>
      <c r="F999" s="598"/>
      <c r="G999" s="601"/>
      <c r="H999" s="600"/>
      <c r="I999" s="602"/>
      <c r="J999" s="602"/>
      <c r="K999" s="602">
        <f t="shared" si="230"/>
        <v>0</v>
      </c>
      <c r="L999" s="603"/>
      <c r="M999" s="603"/>
      <c r="N999" s="603"/>
      <c r="O999" s="603"/>
      <c r="P999" s="603"/>
      <c r="Q999" s="603"/>
      <c r="R999" s="603"/>
      <c r="S999" s="603"/>
      <c r="T999" s="603"/>
      <c r="U999" s="603"/>
      <c r="V999" s="603"/>
      <c r="W999" s="603"/>
      <c r="X999" s="603">
        <f>SUM(L999:W999)</f>
        <v>0</v>
      </c>
      <c r="Y999" s="508"/>
    </row>
    <row r="1000" spans="1:25">
      <c r="A1000" s="604" t="s">
        <v>511</v>
      </c>
      <c r="B1000" s="605"/>
      <c r="C1000" s="605"/>
      <c r="D1000" s="605"/>
      <c r="E1000" s="606"/>
      <c r="F1000" s="604"/>
      <c r="G1000" s="607"/>
      <c r="H1000" s="606"/>
      <c r="I1000" s="608"/>
      <c r="J1000" s="608"/>
      <c r="K1000" s="608">
        <f t="shared" si="230"/>
        <v>0</v>
      </c>
      <c r="L1000" s="609">
        <f t="shared" ref="L1000:W1000" si="238">L1001</f>
        <v>1</v>
      </c>
      <c r="M1000" s="609">
        <f t="shared" si="238"/>
        <v>1</v>
      </c>
      <c r="N1000" s="609">
        <f t="shared" si="238"/>
        <v>1</v>
      </c>
      <c r="O1000" s="609">
        <f t="shared" si="238"/>
        <v>1</v>
      </c>
      <c r="P1000" s="609">
        <f t="shared" si="238"/>
        <v>1</v>
      </c>
      <c r="Q1000" s="609">
        <f t="shared" si="238"/>
        <v>1</v>
      </c>
      <c r="R1000" s="609">
        <f t="shared" si="238"/>
        <v>1</v>
      </c>
      <c r="S1000" s="609">
        <f t="shared" si="238"/>
        <v>1</v>
      </c>
      <c r="T1000" s="609">
        <f t="shared" si="238"/>
        <v>1</v>
      </c>
      <c r="U1000" s="609">
        <f t="shared" si="238"/>
        <v>1</v>
      </c>
      <c r="V1000" s="609">
        <f t="shared" si="238"/>
        <v>1</v>
      </c>
      <c r="W1000" s="609">
        <f t="shared" si="238"/>
        <v>1</v>
      </c>
      <c r="X1000" s="609">
        <f>SUM(L1000:V1000)</f>
        <v>11</v>
      </c>
      <c r="Y1000" s="508"/>
    </row>
    <row r="1001" spans="1:25">
      <c r="A1001" s="501" t="s">
        <v>581</v>
      </c>
      <c r="B1001" s="502"/>
      <c r="C1001" s="502"/>
      <c r="D1001" s="502"/>
      <c r="E1001" s="549"/>
      <c r="F1001" s="501"/>
      <c r="G1001" s="550"/>
      <c r="H1001" s="549"/>
      <c r="I1001" s="506"/>
      <c r="J1001" s="507"/>
      <c r="K1001" s="507">
        <f t="shared" si="230"/>
        <v>0</v>
      </c>
      <c r="L1001" s="507">
        <f t="shared" ref="L1001:W1001" si="239">L1002+L1003+L1008</f>
        <v>1</v>
      </c>
      <c r="M1001" s="507">
        <f t="shared" si="239"/>
        <v>1</v>
      </c>
      <c r="N1001" s="507">
        <f t="shared" si="239"/>
        <v>1</v>
      </c>
      <c r="O1001" s="507">
        <f t="shared" si="239"/>
        <v>1</v>
      </c>
      <c r="P1001" s="507">
        <f t="shared" si="239"/>
        <v>1</v>
      </c>
      <c r="Q1001" s="507">
        <f t="shared" si="239"/>
        <v>1</v>
      </c>
      <c r="R1001" s="507">
        <f t="shared" si="239"/>
        <v>1</v>
      </c>
      <c r="S1001" s="507">
        <f t="shared" si="239"/>
        <v>1</v>
      </c>
      <c r="T1001" s="507">
        <f t="shared" si="239"/>
        <v>1</v>
      </c>
      <c r="U1001" s="507">
        <f t="shared" si="239"/>
        <v>1</v>
      </c>
      <c r="V1001" s="507">
        <f t="shared" si="239"/>
        <v>1</v>
      </c>
      <c r="W1001" s="507">
        <f t="shared" si="239"/>
        <v>1</v>
      </c>
      <c r="X1001" s="507">
        <f>SUM(L1001:W1001)</f>
        <v>12</v>
      </c>
      <c r="Y1001" s="508"/>
    </row>
    <row r="1002" spans="1:25">
      <c r="A1002" s="501" t="s">
        <v>1437</v>
      </c>
      <c r="B1002" s="502"/>
      <c r="C1002" s="502"/>
      <c r="D1002" s="502"/>
      <c r="E1002" s="549"/>
      <c r="F1002" s="501"/>
      <c r="G1002" s="550"/>
      <c r="H1002" s="549"/>
      <c r="I1002" s="506"/>
      <c r="J1002" s="507"/>
      <c r="K1002" s="507">
        <f t="shared" si="230"/>
        <v>0</v>
      </c>
      <c r="L1002" s="507">
        <v>0</v>
      </c>
      <c r="M1002" s="507">
        <v>0</v>
      </c>
      <c r="N1002" s="507">
        <v>0</v>
      </c>
      <c r="O1002" s="507">
        <v>0</v>
      </c>
      <c r="P1002" s="507">
        <v>0</v>
      </c>
      <c r="Q1002" s="507">
        <v>0</v>
      </c>
      <c r="R1002" s="507">
        <v>0</v>
      </c>
      <c r="S1002" s="507">
        <v>0</v>
      </c>
      <c r="T1002" s="507">
        <v>0</v>
      </c>
      <c r="U1002" s="507">
        <v>0</v>
      </c>
      <c r="V1002" s="507">
        <v>0</v>
      </c>
      <c r="W1002" s="507">
        <v>0</v>
      </c>
      <c r="X1002" s="507">
        <f>SUM(L1002:W1002)</f>
        <v>0</v>
      </c>
      <c r="Y1002" s="508"/>
    </row>
    <row r="1003" spans="1:25">
      <c r="A1003" s="501" t="s">
        <v>512</v>
      </c>
      <c r="B1003" s="502"/>
      <c r="C1003" s="502"/>
      <c r="D1003" s="502"/>
      <c r="E1003" s="549"/>
      <c r="F1003" s="501"/>
      <c r="G1003" s="550"/>
      <c r="H1003" s="549"/>
      <c r="I1003" s="506"/>
      <c r="J1003" s="507"/>
      <c r="K1003" s="507">
        <f t="shared" si="230"/>
        <v>0</v>
      </c>
      <c r="L1003" s="507">
        <f t="shared" ref="L1003:X1003" si="240">L1004+L1005+L1006+L1007</f>
        <v>0</v>
      </c>
      <c r="M1003" s="507">
        <f t="shared" si="240"/>
        <v>0</v>
      </c>
      <c r="N1003" s="507">
        <f t="shared" si="240"/>
        <v>0</v>
      </c>
      <c r="O1003" s="507">
        <f t="shared" si="240"/>
        <v>0</v>
      </c>
      <c r="P1003" s="507">
        <f t="shared" si="240"/>
        <v>0</v>
      </c>
      <c r="Q1003" s="507">
        <f t="shared" si="240"/>
        <v>0</v>
      </c>
      <c r="R1003" s="507">
        <f t="shared" si="240"/>
        <v>0</v>
      </c>
      <c r="S1003" s="507">
        <f t="shared" si="240"/>
        <v>0</v>
      </c>
      <c r="T1003" s="507">
        <f t="shared" si="240"/>
        <v>0</v>
      </c>
      <c r="U1003" s="507">
        <f t="shared" si="240"/>
        <v>0</v>
      </c>
      <c r="V1003" s="507">
        <f t="shared" si="240"/>
        <v>0</v>
      </c>
      <c r="W1003" s="507">
        <f t="shared" si="240"/>
        <v>0</v>
      </c>
      <c r="X1003" s="507">
        <f t="shared" si="240"/>
        <v>0</v>
      </c>
      <c r="Y1003" s="508"/>
    </row>
    <row r="1004" spans="1:25">
      <c r="A1004" s="509" t="s">
        <v>513</v>
      </c>
      <c r="B1004" s="510"/>
      <c r="C1004" s="510"/>
      <c r="D1004" s="510"/>
      <c r="E1004" s="551"/>
      <c r="F1004" s="509"/>
      <c r="G1004" s="552"/>
      <c r="H1004" s="551"/>
      <c r="I1004" s="514"/>
      <c r="J1004" s="507"/>
      <c r="K1004" s="507">
        <f t="shared" si="230"/>
        <v>0</v>
      </c>
      <c r="L1004" s="497"/>
      <c r="M1004" s="497"/>
      <c r="N1004" s="497"/>
      <c r="O1004" s="497"/>
      <c r="P1004" s="497"/>
      <c r="Q1004" s="497"/>
      <c r="R1004" s="497"/>
      <c r="S1004" s="497"/>
      <c r="T1004" s="497"/>
      <c r="U1004" s="497"/>
      <c r="V1004" s="497"/>
      <c r="W1004" s="497"/>
      <c r="X1004" s="497">
        <f>SUM(L1004:W1004)</f>
        <v>0</v>
      </c>
      <c r="Y1004" s="508"/>
    </row>
    <row r="1005" spans="1:25">
      <c r="A1005" s="509" t="s">
        <v>514</v>
      </c>
      <c r="B1005" s="510"/>
      <c r="C1005" s="510"/>
      <c r="D1005" s="510"/>
      <c r="E1005" s="551"/>
      <c r="F1005" s="509"/>
      <c r="G1005" s="552"/>
      <c r="H1005" s="551"/>
      <c r="I1005" s="514"/>
      <c r="J1005" s="507"/>
      <c r="K1005" s="507">
        <f t="shared" si="230"/>
        <v>0</v>
      </c>
      <c r="L1005" s="497"/>
      <c r="M1005" s="497"/>
      <c r="N1005" s="497"/>
      <c r="O1005" s="497"/>
      <c r="P1005" s="497"/>
      <c r="Q1005" s="497"/>
      <c r="R1005" s="497"/>
      <c r="S1005" s="497"/>
      <c r="T1005" s="497"/>
      <c r="U1005" s="497"/>
      <c r="V1005" s="497"/>
      <c r="W1005" s="497"/>
      <c r="X1005" s="497">
        <f>SUM(L1005:W1005)</f>
        <v>0</v>
      </c>
      <c r="Y1005" s="508"/>
    </row>
    <row r="1006" spans="1:25">
      <c r="A1006" s="509" t="s">
        <v>515</v>
      </c>
      <c r="B1006" s="510"/>
      <c r="C1006" s="510"/>
      <c r="D1006" s="510"/>
      <c r="E1006" s="551"/>
      <c r="F1006" s="509"/>
      <c r="G1006" s="552"/>
      <c r="H1006" s="551"/>
      <c r="I1006" s="514"/>
      <c r="J1006" s="507"/>
      <c r="K1006" s="507">
        <f t="shared" si="230"/>
        <v>0</v>
      </c>
      <c r="L1006" s="497"/>
      <c r="M1006" s="497"/>
      <c r="N1006" s="497"/>
      <c r="O1006" s="497"/>
      <c r="P1006" s="497"/>
      <c r="Q1006" s="497"/>
      <c r="R1006" s="497"/>
      <c r="S1006" s="497"/>
      <c r="T1006" s="497"/>
      <c r="U1006" s="497"/>
      <c r="V1006" s="497"/>
      <c r="W1006" s="497"/>
      <c r="X1006" s="497">
        <f>SUM(L1006:W1006)</f>
        <v>0</v>
      </c>
      <c r="Y1006" s="508"/>
    </row>
    <row r="1007" spans="1:25">
      <c r="A1007" s="509" t="s">
        <v>516</v>
      </c>
      <c r="B1007" s="510"/>
      <c r="C1007" s="510"/>
      <c r="D1007" s="510"/>
      <c r="E1007" s="551"/>
      <c r="F1007" s="509"/>
      <c r="G1007" s="552"/>
      <c r="H1007" s="551"/>
      <c r="I1007" s="514"/>
      <c r="J1007" s="507"/>
      <c r="K1007" s="507">
        <f t="shared" si="230"/>
        <v>0</v>
      </c>
      <c r="L1007" s="497"/>
      <c r="M1007" s="497"/>
      <c r="N1007" s="497"/>
      <c r="O1007" s="497"/>
      <c r="P1007" s="497"/>
      <c r="Q1007" s="497"/>
      <c r="R1007" s="497"/>
      <c r="S1007" s="497"/>
      <c r="T1007" s="497"/>
      <c r="U1007" s="497"/>
      <c r="V1007" s="497"/>
      <c r="W1007" s="497"/>
      <c r="X1007" s="497">
        <f>SUM(L1007:W1007)</f>
        <v>0</v>
      </c>
      <c r="Y1007" s="508"/>
    </row>
    <row r="1008" spans="1:25">
      <c r="A1008" s="501" t="s">
        <v>517</v>
      </c>
      <c r="B1008" s="502"/>
      <c r="C1008" s="502"/>
      <c r="D1008" s="502"/>
      <c r="E1008" s="549"/>
      <c r="F1008" s="501"/>
      <c r="G1008" s="550"/>
      <c r="H1008" s="549"/>
      <c r="I1008" s="506"/>
      <c r="J1008" s="507"/>
      <c r="K1008" s="507">
        <f t="shared" ref="K1008:K1029" si="241">H1008*J1008</f>
        <v>0</v>
      </c>
      <c r="L1008" s="507">
        <f t="shared" ref="L1008:W1008" si="242">L1009+L1012+L1013+L1017+L1021+L1022+L1025+L1026+L1027+L1028</f>
        <v>1</v>
      </c>
      <c r="M1008" s="507">
        <f t="shared" si="242"/>
        <v>1</v>
      </c>
      <c r="N1008" s="507">
        <f t="shared" si="242"/>
        <v>1</v>
      </c>
      <c r="O1008" s="507">
        <f t="shared" si="242"/>
        <v>1</v>
      </c>
      <c r="P1008" s="507">
        <f t="shared" si="242"/>
        <v>1</v>
      </c>
      <c r="Q1008" s="507">
        <f t="shared" si="242"/>
        <v>1</v>
      </c>
      <c r="R1008" s="507">
        <f t="shared" si="242"/>
        <v>1</v>
      </c>
      <c r="S1008" s="507">
        <f t="shared" si="242"/>
        <v>1</v>
      </c>
      <c r="T1008" s="507">
        <f t="shared" si="242"/>
        <v>1</v>
      </c>
      <c r="U1008" s="507">
        <f t="shared" si="242"/>
        <v>1</v>
      </c>
      <c r="V1008" s="507">
        <f t="shared" si="242"/>
        <v>1</v>
      </c>
      <c r="W1008" s="507">
        <f t="shared" si="242"/>
        <v>1</v>
      </c>
      <c r="X1008" s="507">
        <f>SUM(L1008:W1008)</f>
        <v>12</v>
      </c>
      <c r="Y1008" s="508"/>
    </row>
    <row r="1009" spans="1:25">
      <c r="A1009" s="509" t="s">
        <v>518</v>
      </c>
      <c r="B1009" s="510"/>
      <c r="C1009" s="510"/>
      <c r="D1009" s="510"/>
      <c r="E1009" s="551"/>
      <c r="F1009" s="509"/>
      <c r="G1009" s="552"/>
      <c r="H1009" s="551"/>
      <c r="I1009" s="514"/>
      <c r="J1009" s="507"/>
      <c r="K1009" s="507">
        <f t="shared" si="241"/>
        <v>0</v>
      </c>
      <c r="L1009" s="497">
        <f t="shared" ref="L1009:X1009" si="243">SUM(L1010:L1011)</f>
        <v>0</v>
      </c>
      <c r="M1009" s="497">
        <f t="shared" si="243"/>
        <v>0</v>
      </c>
      <c r="N1009" s="497">
        <f t="shared" si="243"/>
        <v>0</v>
      </c>
      <c r="O1009" s="497">
        <f t="shared" si="243"/>
        <v>0</v>
      </c>
      <c r="P1009" s="497">
        <f t="shared" si="243"/>
        <v>0</v>
      </c>
      <c r="Q1009" s="497">
        <f t="shared" si="243"/>
        <v>0</v>
      </c>
      <c r="R1009" s="497">
        <f t="shared" si="243"/>
        <v>0</v>
      </c>
      <c r="S1009" s="497">
        <f t="shared" si="243"/>
        <v>0</v>
      </c>
      <c r="T1009" s="497">
        <f t="shared" si="243"/>
        <v>0</v>
      </c>
      <c r="U1009" s="497">
        <f t="shared" si="243"/>
        <v>0</v>
      </c>
      <c r="V1009" s="497">
        <f t="shared" si="243"/>
        <v>0</v>
      </c>
      <c r="W1009" s="497">
        <f t="shared" si="243"/>
        <v>0</v>
      </c>
      <c r="X1009" s="497">
        <f t="shared" si="243"/>
        <v>0</v>
      </c>
      <c r="Y1009" s="508"/>
    </row>
    <row r="1010" spans="1:25">
      <c r="A1010" s="515" t="s">
        <v>1044</v>
      </c>
      <c r="B1010" s="516"/>
      <c r="C1010" s="516"/>
      <c r="D1010" s="516"/>
      <c r="E1010" s="538"/>
      <c r="F1010" s="515"/>
      <c r="G1010" s="546"/>
      <c r="H1010" s="538"/>
      <c r="I1010" s="520"/>
      <c r="J1010" s="507"/>
      <c r="K1010" s="507">
        <f t="shared" si="241"/>
        <v>0</v>
      </c>
      <c r="L1010" s="521"/>
      <c r="M1010" s="521"/>
      <c r="N1010" s="521"/>
      <c r="O1010" s="521"/>
      <c r="P1010" s="521"/>
      <c r="Q1010" s="521"/>
      <c r="R1010" s="521"/>
      <c r="S1010" s="521"/>
      <c r="T1010" s="521"/>
      <c r="U1010" s="521"/>
      <c r="V1010" s="521"/>
      <c r="W1010" s="521"/>
      <c r="X1010" s="521">
        <f>SUM(L1010:W1010)</f>
        <v>0</v>
      </c>
      <c r="Y1010" s="508"/>
    </row>
    <row r="1011" spans="1:25">
      <c r="A1011" s="515"/>
      <c r="B1011" s="516"/>
      <c r="C1011" s="516"/>
      <c r="D1011" s="516"/>
      <c r="E1011" s="538"/>
      <c r="F1011" s="515"/>
      <c r="G1011" s="546"/>
      <c r="H1011" s="538"/>
      <c r="I1011" s="520"/>
      <c r="J1011" s="507"/>
      <c r="K1011" s="507">
        <f t="shared" si="241"/>
        <v>0</v>
      </c>
      <c r="L1011" s="521"/>
      <c r="M1011" s="521"/>
      <c r="N1011" s="521"/>
      <c r="O1011" s="521"/>
      <c r="P1011" s="521"/>
      <c r="Q1011" s="521"/>
      <c r="R1011" s="521"/>
      <c r="S1011" s="521"/>
      <c r="T1011" s="521"/>
      <c r="U1011" s="521"/>
      <c r="V1011" s="521"/>
      <c r="W1011" s="521"/>
      <c r="X1011" s="521">
        <f>SUM(L1011:W1011)</f>
        <v>0</v>
      </c>
      <c r="Y1011" s="508"/>
    </row>
    <row r="1012" spans="1:25">
      <c r="A1012" s="509" t="s">
        <v>583</v>
      </c>
      <c r="B1012" s="510"/>
      <c r="C1012" s="510"/>
      <c r="D1012" s="510"/>
      <c r="E1012" s="551"/>
      <c r="F1012" s="509"/>
      <c r="G1012" s="552"/>
      <c r="H1012" s="551"/>
      <c r="I1012" s="514"/>
      <c r="J1012" s="507"/>
      <c r="K1012" s="507">
        <f t="shared" si="241"/>
        <v>0</v>
      </c>
      <c r="L1012" s="497">
        <v>0</v>
      </c>
      <c r="M1012" s="497">
        <v>0</v>
      </c>
      <c r="N1012" s="497">
        <v>0</v>
      </c>
      <c r="O1012" s="497">
        <v>0</v>
      </c>
      <c r="P1012" s="497">
        <v>0</v>
      </c>
      <c r="Q1012" s="497">
        <v>0</v>
      </c>
      <c r="R1012" s="497">
        <v>0</v>
      </c>
      <c r="S1012" s="497">
        <v>0</v>
      </c>
      <c r="T1012" s="497">
        <v>0</v>
      </c>
      <c r="U1012" s="497">
        <v>0</v>
      </c>
      <c r="V1012" s="497">
        <v>0</v>
      </c>
      <c r="W1012" s="497">
        <v>0</v>
      </c>
      <c r="X1012" s="497">
        <f>SUM(L1012:W1012)</f>
        <v>0</v>
      </c>
      <c r="Y1012" s="508"/>
    </row>
    <row r="1013" spans="1:25">
      <c r="A1013" s="509" t="s">
        <v>535</v>
      </c>
      <c r="B1013" s="510"/>
      <c r="C1013" s="510"/>
      <c r="D1013" s="510"/>
      <c r="E1013" s="551"/>
      <c r="F1013" s="509"/>
      <c r="G1013" s="552"/>
      <c r="H1013" s="551"/>
      <c r="I1013" s="514"/>
      <c r="J1013" s="507"/>
      <c r="K1013" s="507">
        <f t="shared" si="241"/>
        <v>0</v>
      </c>
      <c r="L1013" s="497">
        <f t="shared" ref="L1013:X1013" si="244">SUM(L1014:L1016)</f>
        <v>0</v>
      </c>
      <c r="M1013" s="497">
        <f t="shared" si="244"/>
        <v>0</v>
      </c>
      <c r="N1013" s="497">
        <f t="shared" si="244"/>
        <v>0</v>
      </c>
      <c r="O1013" s="497">
        <f t="shared" si="244"/>
        <v>0</v>
      </c>
      <c r="P1013" s="497">
        <f t="shared" si="244"/>
        <v>0</v>
      </c>
      <c r="Q1013" s="497">
        <f t="shared" si="244"/>
        <v>0</v>
      </c>
      <c r="R1013" s="497">
        <f t="shared" si="244"/>
        <v>0</v>
      </c>
      <c r="S1013" s="497">
        <f t="shared" si="244"/>
        <v>0</v>
      </c>
      <c r="T1013" s="497">
        <f t="shared" si="244"/>
        <v>0</v>
      </c>
      <c r="U1013" s="497">
        <f t="shared" si="244"/>
        <v>0</v>
      </c>
      <c r="V1013" s="497">
        <f t="shared" si="244"/>
        <v>0</v>
      </c>
      <c r="W1013" s="497">
        <f t="shared" si="244"/>
        <v>0</v>
      </c>
      <c r="X1013" s="497">
        <f t="shared" si="244"/>
        <v>0</v>
      </c>
      <c r="Y1013" s="508"/>
    </row>
    <row r="1014" spans="1:25">
      <c r="A1014" s="509" t="s">
        <v>1021</v>
      </c>
      <c r="B1014" s="510"/>
      <c r="C1014" s="510"/>
      <c r="D1014" s="510"/>
      <c r="E1014" s="551"/>
      <c r="F1014" s="509"/>
      <c r="G1014" s="552"/>
      <c r="H1014" s="551"/>
      <c r="I1014" s="514"/>
      <c r="J1014" s="507"/>
      <c r="K1014" s="507">
        <f t="shared" si="241"/>
        <v>0</v>
      </c>
      <c r="L1014" s="497">
        <f t="shared" ref="L1014:W1014" si="245">SUM(L1015:L1021)</f>
        <v>0</v>
      </c>
      <c r="M1014" s="497">
        <f t="shared" si="245"/>
        <v>0</v>
      </c>
      <c r="N1014" s="497">
        <f t="shared" si="245"/>
        <v>0</v>
      </c>
      <c r="O1014" s="497">
        <f t="shared" si="245"/>
        <v>0</v>
      </c>
      <c r="P1014" s="497">
        <f t="shared" si="245"/>
        <v>0</v>
      </c>
      <c r="Q1014" s="497">
        <f t="shared" si="245"/>
        <v>0</v>
      </c>
      <c r="R1014" s="497">
        <f t="shared" si="245"/>
        <v>0</v>
      </c>
      <c r="S1014" s="497">
        <f t="shared" si="245"/>
        <v>0</v>
      </c>
      <c r="T1014" s="497">
        <f t="shared" si="245"/>
        <v>0</v>
      </c>
      <c r="U1014" s="497">
        <f t="shared" si="245"/>
        <v>0</v>
      </c>
      <c r="V1014" s="497">
        <f t="shared" si="245"/>
        <v>0</v>
      </c>
      <c r="W1014" s="497">
        <f t="shared" si="245"/>
        <v>0</v>
      </c>
      <c r="X1014" s="497">
        <f t="shared" ref="X1014:X1023" si="246">SUM(L1014:W1014)</f>
        <v>0</v>
      </c>
      <c r="Y1014" s="508"/>
    </row>
    <row r="1015" spans="1:25">
      <c r="A1015" s="555" t="s">
        <v>1425</v>
      </c>
      <c r="B1015" s="558"/>
      <c r="C1015" s="558"/>
      <c r="D1015" s="558"/>
      <c r="E1015" s="559"/>
      <c r="F1015" s="555"/>
      <c r="G1015" s="556"/>
      <c r="H1015" s="559"/>
      <c r="I1015" s="561"/>
      <c r="J1015" s="507"/>
      <c r="K1015" s="507">
        <f t="shared" si="241"/>
        <v>0</v>
      </c>
      <c r="L1015" s="521"/>
      <c r="M1015" s="560"/>
      <c r="N1015" s="560"/>
      <c r="O1015" s="560"/>
      <c r="P1015" s="560"/>
      <c r="Q1015" s="560"/>
      <c r="R1015" s="560"/>
      <c r="S1015" s="560"/>
      <c r="T1015" s="560"/>
      <c r="U1015" s="560"/>
      <c r="V1015" s="560"/>
      <c r="W1015" s="560"/>
      <c r="X1015" s="521">
        <f t="shared" si="246"/>
        <v>0</v>
      </c>
      <c r="Y1015" s="508"/>
    </row>
    <row r="1016" spans="1:25">
      <c r="A1016" s="555" t="s">
        <v>1426</v>
      </c>
      <c r="B1016" s="558"/>
      <c r="C1016" s="558"/>
      <c r="D1016" s="558"/>
      <c r="E1016" s="559"/>
      <c r="F1016" s="555"/>
      <c r="G1016" s="556"/>
      <c r="H1016" s="559"/>
      <c r="I1016" s="561"/>
      <c r="J1016" s="507"/>
      <c r="K1016" s="507">
        <f t="shared" si="241"/>
        <v>0</v>
      </c>
      <c r="L1016" s="521"/>
      <c r="M1016" s="560"/>
      <c r="N1016" s="560"/>
      <c r="O1016" s="560"/>
      <c r="P1016" s="560"/>
      <c r="Q1016" s="560"/>
      <c r="R1016" s="560"/>
      <c r="S1016" s="560"/>
      <c r="T1016" s="560"/>
      <c r="U1016" s="560"/>
      <c r="V1016" s="560"/>
      <c r="W1016" s="560"/>
      <c r="X1016" s="521">
        <f t="shared" si="246"/>
        <v>0</v>
      </c>
      <c r="Y1016" s="508"/>
    </row>
    <row r="1017" spans="1:25">
      <c r="A1017" s="555" t="s">
        <v>1427</v>
      </c>
      <c r="B1017" s="558"/>
      <c r="C1017" s="558"/>
      <c r="D1017" s="558"/>
      <c r="E1017" s="559"/>
      <c r="F1017" s="555"/>
      <c r="G1017" s="556"/>
      <c r="H1017" s="559"/>
      <c r="I1017" s="561"/>
      <c r="J1017" s="507"/>
      <c r="K1017" s="507">
        <f t="shared" si="241"/>
        <v>0</v>
      </c>
      <c r="L1017" s="521"/>
      <c r="M1017" s="560"/>
      <c r="N1017" s="560"/>
      <c r="O1017" s="560"/>
      <c r="P1017" s="560"/>
      <c r="Q1017" s="560"/>
      <c r="R1017" s="560"/>
      <c r="S1017" s="560"/>
      <c r="T1017" s="560"/>
      <c r="U1017" s="560"/>
      <c r="V1017" s="560"/>
      <c r="W1017" s="560"/>
      <c r="X1017" s="521">
        <f t="shared" si="246"/>
        <v>0</v>
      </c>
      <c r="Y1017" s="508"/>
    </row>
    <row r="1018" spans="1:25">
      <c r="A1018" s="555" t="s">
        <v>1428</v>
      </c>
      <c r="B1018" s="558"/>
      <c r="C1018" s="558"/>
      <c r="D1018" s="558"/>
      <c r="E1018" s="559"/>
      <c r="F1018" s="555"/>
      <c r="G1018" s="556"/>
      <c r="H1018" s="559"/>
      <c r="I1018" s="561"/>
      <c r="J1018" s="507"/>
      <c r="K1018" s="507">
        <f t="shared" si="241"/>
        <v>0</v>
      </c>
      <c r="L1018" s="521"/>
      <c r="M1018" s="560"/>
      <c r="N1018" s="560"/>
      <c r="O1018" s="560"/>
      <c r="P1018" s="560"/>
      <c r="Q1018" s="560"/>
      <c r="R1018" s="560"/>
      <c r="S1018" s="560"/>
      <c r="T1018" s="560"/>
      <c r="U1018" s="560"/>
      <c r="V1018" s="560"/>
      <c r="W1018" s="560"/>
      <c r="X1018" s="521">
        <f t="shared" si="246"/>
        <v>0</v>
      </c>
      <c r="Y1018" s="508"/>
    </row>
    <row r="1019" spans="1:25">
      <c r="A1019" s="555" t="s">
        <v>1429</v>
      </c>
      <c r="B1019" s="558"/>
      <c r="C1019" s="558"/>
      <c r="D1019" s="558"/>
      <c r="E1019" s="559"/>
      <c r="F1019" s="555"/>
      <c r="G1019" s="556"/>
      <c r="H1019" s="559"/>
      <c r="I1019" s="561"/>
      <c r="J1019" s="507"/>
      <c r="K1019" s="507">
        <f t="shared" si="241"/>
        <v>0</v>
      </c>
      <c r="L1019" s="521"/>
      <c r="M1019" s="560"/>
      <c r="N1019" s="560"/>
      <c r="O1019" s="560"/>
      <c r="P1019" s="560"/>
      <c r="Q1019" s="560"/>
      <c r="R1019" s="560"/>
      <c r="S1019" s="560"/>
      <c r="T1019" s="560"/>
      <c r="U1019" s="560"/>
      <c r="V1019" s="560"/>
      <c r="W1019" s="560"/>
      <c r="X1019" s="521">
        <f t="shared" si="246"/>
        <v>0</v>
      </c>
      <c r="Y1019" s="508"/>
    </row>
    <row r="1020" spans="1:25">
      <c r="A1020" s="555" t="s">
        <v>1429</v>
      </c>
      <c r="B1020" s="558"/>
      <c r="C1020" s="558"/>
      <c r="D1020" s="558"/>
      <c r="E1020" s="559"/>
      <c r="F1020" s="555"/>
      <c r="G1020" s="556"/>
      <c r="H1020" s="559"/>
      <c r="I1020" s="561"/>
      <c r="J1020" s="507"/>
      <c r="K1020" s="507">
        <f t="shared" si="241"/>
        <v>0</v>
      </c>
      <c r="L1020" s="521"/>
      <c r="M1020" s="560"/>
      <c r="N1020" s="560"/>
      <c r="O1020" s="560"/>
      <c r="P1020" s="560"/>
      <c r="Q1020" s="560"/>
      <c r="R1020" s="560"/>
      <c r="S1020" s="560"/>
      <c r="T1020" s="560"/>
      <c r="U1020" s="560"/>
      <c r="V1020" s="560"/>
      <c r="W1020" s="560"/>
      <c r="X1020" s="521">
        <f t="shared" si="246"/>
        <v>0</v>
      </c>
      <c r="Y1020" s="508"/>
    </row>
    <row r="1021" spans="1:25">
      <c r="A1021" s="555"/>
      <c r="B1021" s="558"/>
      <c r="C1021" s="558"/>
      <c r="D1021" s="558"/>
      <c r="E1021" s="559"/>
      <c r="F1021" s="555"/>
      <c r="G1021" s="556"/>
      <c r="H1021" s="559"/>
      <c r="I1021" s="561"/>
      <c r="J1021" s="507"/>
      <c r="K1021" s="507">
        <f t="shared" si="241"/>
        <v>0</v>
      </c>
      <c r="L1021" s="521"/>
      <c r="M1021" s="560"/>
      <c r="N1021" s="560"/>
      <c r="O1021" s="560"/>
      <c r="P1021" s="560"/>
      <c r="Q1021" s="560"/>
      <c r="R1021" s="560"/>
      <c r="S1021" s="560"/>
      <c r="T1021" s="560"/>
      <c r="U1021" s="560"/>
      <c r="V1021" s="560"/>
      <c r="W1021" s="560"/>
      <c r="X1021" s="521">
        <f t="shared" si="246"/>
        <v>0</v>
      </c>
      <c r="Y1021" s="508"/>
    </row>
    <row r="1022" spans="1:25">
      <c r="A1022" s="509" t="s">
        <v>569</v>
      </c>
      <c r="B1022" s="510"/>
      <c r="C1022" s="510"/>
      <c r="D1022" s="510"/>
      <c r="E1022" s="551"/>
      <c r="F1022" s="509"/>
      <c r="G1022" s="552"/>
      <c r="H1022" s="551"/>
      <c r="I1022" s="514"/>
      <c r="J1022" s="507"/>
      <c r="K1022" s="507">
        <f t="shared" si="241"/>
        <v>0</v>
      </c>
      <c r="L1022" s="497">
        <f t="shared" ref="L1022:W1022" si="247">SUM(L1023)</f>
        <v>1</v>
      </c>
      <c r="M1022" s="497">
        <f t="shared" si="247"/>
        <v>1</v>
      </c>
      <c r="N1022" s="497">
        <f t="shared" si="247"/>
        <v>1</v>
      </c>
      <c r="O1022" s="497">
        <f t="shared" si="247"/>
        <v>1</v>
      </c>
      <c r="P1022" s="497">
        <f t="shared" si="247"/>
        <v>1</v>
      </c>
      <c r="Q1022" s="497">
        <f t="shared" si="247"/>
        <v>1</v>
      </c>
      <c r="R1022" s="497">
        <f t="shared" si="247"/>
        <v>1</v>
      </c>
      <c r="S1022" s="497">
        <f t="shared" si="247"/>
        <v>1</v>
      </c>
      <c r="T1022" s="497">
        <f t="shared" si="247"/>
        <v>1</v>
      </c>
      <c r="U1022" s="497">
        <f t="shared" si="247"/>
        <v>1</v>
      </c>
      <c r="V1022" s="497">
        <f t="shared" si="247"/>
        <v>1</v>
      </c>
      <c r="W1022" s="497">
        <f t="shared" si="247"/>
        <v>1</v>
      </c>
      <c r="X1022" s="497">
        <f t="shared" si="246"/>
        <v>12</v>
      </c>
      <c r="Y1022" s="508"/>
    </row>
    <row r="1023" spans="1:25">
      <c r="A1023" s="515" t="s">
        <v>570</v>
      </c>
      <c r="B1023" s="516"/>
      <c r="C1023" s="516"/>
      <c r="D1023" s="516"/>
      <c r="E1023" s="538"/>
      <c r="F1023" s="515"/>
      <c r="G1023" s="546"/>
      <c r="H1023" s="538"/>
      <c r="I1023" s="520"/>
      <c r="J1023" s="507"/>
      <c r="K1023" s="507">
        <f t="shared" si="241"/>
        <v>0</v>
      </c>
      <c r="L1023" s="521">
        <v>1</v>
      </c>
      <c r="M1023" s="521">
        <v>1</v>
      </c>
      <c r="N1023" s="521">
        <v>1</v>
      </c>
      <c r="O1023" s="521">
        <v>1</v>
      </c>
      <c r="P1023" s="521">
        <v>1</v>
      </c>
      <c r="Q1023" s="521">
        <v>1</v>
      </c>
      <c r="R1023" s="521">
        <v>1</v>
      </c>
      <c r="S1023" s="521">
        <v>1</v>
      </c>
      <c r="T1023" s="521">
        <v>1</v>
      </c>
      <c r="U1023" s="521">
        <v>1</v>
      </c>
      <c r="V1023" s="521">
        <v>1</v>
      </c>
      <c r="W1023" s="521">
        <v>1</v>
      </c>
      <c r="X1023" s="521">
        <f t="shared" si="246"/>
        <v>12</v>
      </c>
      <c r="Y1023" s="508"/>
    </row>
    <row r="1024" spans="1:25">
      <c r="A1024" s="501" t="s">
        <v>571</v>
      </c>
      <c r="B1024" s="502"/>
      <c r="C1024" s="502"/>
      <c r="D1024" s="502"/>
      <c r="E1024" s="549"/>
      <c r="F1024" s="501"/>
      <c r="G1024" s="550"/>
      <c r="H1024" s="549"/>
      <c r="I1024" s="506"/>
      <c r="J1024" s="507"/>
      <c r="K1024" s="507">
        <f t="shared" si="241"/>
        <v>0</v>
      </c>
      <c r="L1024" s="507">
        <f t="shared" ref="L1024:X1024" si="248">L1025+L1029+L1033+L1034</f>
        <v>17662.920000000002</v>
      </c>
      <c r="M1024" s="507">
        <f t="shared" si="248"/>
        <v>19158.920000000002</v>
      </c>
      <c r="N1024" s="507">
        <f t="shared" si="248"/>
        <v>17662.920000000002</v>
      </c>
      <c r="O1024" s="507">
        <f t="shared" si="248"/>
        <v>19158.920000000002</v>
      </c>
      <c r="P1024" s="507">
        <f t="shared" si="248"/>
        <v>17662.920000000002</v>
      </c>
      <c r="Q1024" s="507">
        <f t="shared" si="248"/>
        <v>19158.920000000002</v>
      </c>
      <c r="R1024" s="507">
        <f t="shared" si="248"/>
        <v>17662.920000000002</v>
      </c>
      <c r="S1024" s="507">
        <f t="shared" si="248"/>
        <v>19158.920000000002</v>
      </c>
      <c r="T1024" s="507">
        <f t="shared" si="248"/>
        <v>17662.920000000002</v>
      </c>
      <c r="U1024" s="507">
        <f t="shared" si="248"/>
        <v>19158.920000000002</v>
      </c>
      <c r="V1024" s="507">
        <f t="shared" si="248"/>
        <v>17662.920000000002</v>
      </c>
      <c r="W1024" s="507">
        <f t="shared" si="248"/>
        <v>17662.920000000002</v>
      </c>
      <c r="X1024" s="507">
        <f t="shared" si="248"/>
        <v>219435.04000000004</v>
      </c>
      <c r="Y1024" s="508"/>
    </row>
    <row r="1025" spans="1:25">
      <c r="A1025" s="509" t="s">
        <v>572</v>
      </c>
      <c r="B1025" s="510"/>
      <c r="C1025" s="510"/>
      <c r="D1025" s="510"/>
      <c r="E1025" s="551"/>
      <c r="F1025" s="509"/>
      <c r="G1025" s="552"/>
      <c r="H1025" s="551"/>
      <c r="I1025" s="514"/>
      <c r="J1025" s="507"/>
      <c r="K1025" s="507">
        <f t="shared" si="241"/>
        <v>0</v>
      </c>
      <c r="L1025" s="497">
        <f t="shared" ref="L1025:W1025" si="249">SUM(L1026:L1028)</f>
        <v>0</v>
      </c>
      <c r="M1025" s="497">
        <f t="shared" si="249"/>
        <v>0</v>
      </c>
      <c r="N1025" s="497">
        <f t="shared" si="249"/>
        <v>0</v>
      </c>
      <c r="O1025" s="497">
        <f t="shared" si="249"/>
        <v>0</v>
      </c>
      <c r="P1025" s="497">
        <f t="shared" si="249"/>
        <v>0</v>
      </c>
      <c r="Q1025" s="497">
        <f t="shared" si="249"/>
        <v>0</v>
      </c>
      <c r="R1025" s="497">
        <f t="shared" si="249"/>
        <v>0</v>
      </c>
      <c r="S1025" s="497">
        <f t="shared" si="249"/>
        <v>0</v>
      </c>
      <c r="T1025" s="497">
        <f t="shared" si="249"/>
        <v>0</v>
      </c>
      <c r="U1025" s="497">
        <f t="shared" si="249"/>
        <v>0</v>
      </c>
      <c r="V1025" s="497">
        <f t="shared" si="249"/>
        <v>0</v>
      </c>
      <c r="W1025" s="497">
        <f t="shared" si="249"/>
        <v>0</v>
      </c>
      <c r="X1025" s="497">
        <f>SUM(L1025:W1025)</f>
        <v>0</v>
      </c>
      <c r="Y1025" s="508"/>
    </row>
    <row r="1026" spans="1:25">
      <c r="A1026" s="515" t="s">
        <v>573</v>
      </c>
      <c r="B1026" s="516"/>
      <c r="C1026" s="516"/>
      <c r="D1026" s="516"/>
      <c r="E1026" s="538"/>
      <c r="F1026" s="515"/>
      <c r="G1026" s="546"/>
      <c r="H1026" s="538"/>
      <c r="I1026" s="520"/>
      <c r="J1026" s="507"/>
      <c r="K1026" s="507">
        <f t="shared" si="241"/>
        <v>0</v>
      </c>
      <c r="L1026" s="521"/>
      <c r="M1026" s="521"/>
      <c r="N1026" s="521"/>
      <c r="O1026" s="521"/>
      <c r="P1026" s="521"/>
      <c r="Q1026" s="521"/>
      <c r="R1026" s="521"/>
      <c r="S1026" s="521"/>
      <c r="T1026" s="521"/>
      <c r="U1026" s="521"/>
      <c r="V1026" s="521"/>
      <c r="W1026" s="521"/>
      <c r="X1026" s="521">
        <f>SUM(L1026:W1026)</f>
        <v>0</v>
      </c>
      <c r="Y1026" s="508"/>
    </row>
    <row r="1027" spans="1:25">
      <c r="A1027" s="515" t="s">
        <v>574</v>
      </c>
      <c r="B1027" s="516"/>
      <c r="C1027" s="516"/>
      <c r="D1027" s="516"/>
      <c r="E1027" s="538"/>
      <c r="F1027" s="515"/>
      <c r="G1027" s="546"/>
      <c r="H1027" s="538"/>
      <c r="I1027" s="520"/>
      <c r="J1027" s="507"/>
      <c r="K1027" s="507">
        <f t="shared" si="241"/>
        <v>0</v>
      </c>
      <c r="L1027" s="521"/>
      <c r="M1027" s="521"/>
      <c r="N1027" s="521"/>
      <c r="O1027" s="521"/>
      <c r="P1027" s="521"/>
      <c r="Q1027" s="521"/>
      <c r="R1027" s="521"/>
      <c r="S1027" s="521"/>
      <c r="T1027" s="521"/>
      <c r="U1027" s="521"/>
      <c r="V1027" s="521"/>
      <c r="W1027" s="521"/>
      <c r="X1027" s="521">
        <f>SUM(L1027:W1027)</f>
        <v>0</v>
      </c>
      <c r="Y1027" s="508"/>
    </row>
    <row r="1028" spans="1:25">
      <c r="A1028" s="515" t="s">
        <v>575</v>
      </c>
      <c r="B1028" s="516"/>
      <c r="C1028" s="516"/>
      <c r="D1028" s="516"/>
      <c r="E1028" s="538"/>
      <c r="F1028" s="515"/>
      <c r="G1028" s="546"/>
      <c r="H1028" s="538"/>
      <c r="I1028" s="520"/>
      <c r="J1028" s="507"/>
      <c r="K1028" s="507">
        <f t="shared" si="241"/>
        <v>0</v>
      </c>
      <c r="L1028" s="521"/>
      <c r="M1028" s="521"/>
      <c r="N1028" s="521"/>
      <c r="O1028" s="521"/>
      <c r="P1028" s="521"/>
      <c r="Q1028" s="521"/>
      <c r="R1028" s="521"/>
      <c r="S1028" s="521"/>
      <c r="T1028" s="521"/>
      <c r="U1028" s="521"/>
      <c r="V1028" s="521"/>
      <c r="W1028" s="521"/>
      <c r="X1028" s="521">
        <f>SUM(L1028:W1028)</f>
        <v>0</v>
      </c>
      <c r="Y1028" s="508"/>
    </row>
    <row r="1029" spans="1:25">
      <c r="A1029" s="509" t="s">
        <v>576</v>
      </c>
      <c r="B1029" s="510"/>
      <c r="C1029" s="510"/>
      <c r="D1029" s="510"/>
      <c r="E1029" s="551"/>
      <c r="F1029" s="509"/>
      <c r="G1029" s="552"/>
      <c r="H1029" s="551"/>
      <c r="I1029" s="514"/>
      <c r="J1029" s="507"/>
      <c r="K1029" s="507">
        <f t="shared" si="241"/>
        <v>0</v>
      </c>
      <c r="L1029" s="497">
        <f t="shared" ref="L1029:X1029" si="250">SUM(L1030:L1032)</f>
        <v>5887.64</v>
      </c>
      <c r="M1029" s="497">
        <f t="shared" si="250"/>
        <v>7383.64</v>
      </c>
      <c r="N1029" s="497">
        <f t="shared" si="250"/>
        <v>5887.64</v>
      </c>
      <c r="O1029" s="497">
        <f t="shared" si="250"/>
        <v>7383.64</v>
      </c>
      <c r="P1029" s="497">
        <f t="shared" si="250"/>
        <v>5887.64</v>
      </c>
      <c r="Q1029" s="497">
        <f t="shared" si="250"/>
        <v>7383.64</v>
      </c>
      <c r="R1029" s="497">
        <f t="shared" si="250"/>
        <v>5887.64</v>
      </c>
      <c r="S1029" s="497">
        <f t="shared" si="250"/>
        <v>7383.64</v>
      </c>
      <c r="T1029" s="497">
        <f t="shared" si="250"/>
        <v>5887.64</v>
      </c>
      <c r="U1029" s="497">
        <f t="shared" si="250"/>
        <v>7383.64</v>
      </c>
      <c r="V1029" s="497">
        <f t="shared" si="250"/>
        <v>5887.64</v>
      </c>
      <c r="W1029" s="497">
        <f t="shared" si="250"/>
        <v>5887.64</v>
      </c>
      <c r="X1029" s="497">
        <f t="shared" si="250"/>
        <v>78131.680000000008</v>
      </c>
      <c r="Y1029" s="508"/>
    </row>
    <row r="1030" spans="1:25">
      <c r="A1030" s="610" t="s">
        <v>1438</v>
      </c>
      <c r="B1030" s="611"/>
      <c r="C1030" s="612"/>
      <c r="D1030" s="611"/>
      <c r="E1030" s="613"/>
      <c r="F1030" s="610"/>
      <c r="G1030" s="610"/>
      <c r="H1030" s="613"/>
      <c r="I1030" s="614"/>
      <c r="J1030" s="614"/>
      <c r="K1030" s="614"/>
      <c r="L1030" s="615"/>
      <c r="M1030" s="615"/>
      <c r="N1030" s="615"/>
      <c r="O1030" s="615"/>
      <c r="P1030" s="615"/>
      <c r="Q1030" s="615"/>
      <c r="R1030" s="615"/>
      <c r="S1030" s="615"/>
      <c r="T1030" s="615"/>
      <c r="U1030" s="615"/>
      <c r="V1030" s="615"/>
      <c r="W1030" s="615"/>
      <c r="X1030" s="615"/>
      <c r="Y1030" s="508"/>
    </row>
    <row r="1031" spans="1:25" ht="255">
      <c r="A1031" s="616" t="s">
        <v>1264</v>
      </c>
      <c r="B1031" s="617" t="s">
        <v>1439</v>
      </c>
      <c r="C1031" s="618" t="s">
        <v>1256</v>
      </c>
      <c r="D1031" s="619"/>
      <c r="E1031" s="538"/>
      <c r="F1031" s="597"/>
      <c r="G1031" s="546"/>
      <c r="H1031" s="548">
        <v>5</v>
      </c>
      <c r="I1031" s="520"/>
      <c r="J1031" s="553">
        <v>1496</v>
      </c>
      <c r="K1031" s="553">
        <f t="shared" ref="K1031:K1056" si="251">H1031*J1031</f>
        <v>7480</v>
      </c>
      <c r="L1031" s="554">
        <v>0</v>
      </c>
      <c r="M1031" s="554">
        <f>J1031</f>
        <v>1496</v>
      </c>
      <c r="N1031" s="554">
        <v>0</v>
      </c>
      <c r="O1031" s="554">
        <f>J1031</f>
        <v>1496</v>
      </c>
      <c r="P1031" s="554">
        <v>0</v>
      </c>
      <c r="Q1031" s="554">
        <f>J1031</f>
        <v>1496</v>
      </c>
      <c r="R1031" s="554">
        <v>0</v>
      </c>
      <c r="S1031" s="554">
        <f>J1031</f>
        <v>1496</v>
      </c>
      <c r="T1031" s="554">
        <v>0</v>
      </c>
      <c r="U1031" s="554">
        <f>J1031</f>
        <v>1496</v>
      </c>
      <c r="V1031" s="554">
        <v>0</v>
      </c>
      <c r="W1031" s="554">
        <v>0</v>
      </c>
      <c r="X1031" s="521">
        <f t="shared" ref="X1031:X1063" si="252">SUM(L1031:W1031)</f>
        <v>7480</v>
      </c>
      <c r="Y1031" s="508"/>
    </row>
    <row r="1032" spans="1:25" ht="30">
      <c r="A1032" s="619"/>
      <c r="B1032" s="617" t="s">
        <v>1440</v>
      </c>
      <c r="C1032" s="590" t="s">
        <v>1256</v>
      </c>
      <c r="D1032" s="619"/>
      <c r="E1032" s="538"/>
      <c r="F1032" s="597"/>
      <c r="G1032" s="546"/>
      <c r="H1032" s="538">
        <v>12</v>
      </c>
      <c r="I1032" s="520"/>
      <c r="J1032" s="507">
        <f>133.81*1.1 *40</f>
        <v>5887.64</v>
      </c>
      <c r="K1032" s="507">
        <f t="shared" si="251"/>
        <v>70651.680000000008</v>
      </c>
      <c r="L1032" s="521">
        <f t="shared" ref="L1032:W1032" si="253">$J$1032</f>
        <v>5887.64</v>
      </c>
      <c r="M1032" s="521">
        <f t="shared" si="253"/>
        <v>5887.64</v>
      </c>
      <c r="N1032" s="521">
        <f t="shared" si="253"/>
        <v>5887.64</v>
      </c>
      <c r="O1032" s="521">
        <f t="shared" si="253"/>
        <v>5887.64</v>
      </c>
      <c r="P1032" s="521">
        <f t="shared" si="253"/>
        <v>5887.64</v>
      </c>
      <c r="Q1032" s="521">
        <f t="shared" si="253"/>
        <v>5887.64</v>
      </c>
      <c r="R1032" s="521">
        <f t="shared" si="253"/>
        <v>5887.64</v>
      </c>
      <c r="S1032" s="521">
        <f t="shared" si="253"/>
        <v>5887.64</v>
      </c>
      <c r="T1032" s="521">
        <f t="shared" si="253"/>
        <v>5887.64</v>
      </c>
      <c r="U1032" s="521">
        <f t="shared" si="253"/>
        <v>5887.64</v>
      </c>
      <c r="V1032" s="521">
        <f t="shared" si="253"/>
        <v>5887.64</v>
      </c>
      <c r="W1032" s="521">
        <f t="shared" si="253"/>
        <v>5887.64</v>
      </c>
      <c r="X1032" s="521">
        <f t="shared" si="252"/>
        <v>70651.680000000008</v>
      </c>
      <c r="Y1032" s="508"/>
    </row>
    <row r="1033" spans="1:25" ht="30">
      <c r="A1033" s="619"/>
      <c r="B1033" s="617" t="s">
        <v>1440</v>
      </c>
      <c r="C1033" s="590" t="s">
        <v>1413</v>
      </c>
      <c r="D1033" s="619"/>
      <c r="E1033" s="538"/>
      <c r="F1033" s="597"/>
      <c r="G1033" s="546"/>
      <c r="H1033" s="538">
        <v>12</v>
      </c>
      <c r="I1033" s="520"/>
      <c r="J1033" s="507">
        <f>133.81*1.1 *40</f>
        <v>5887.64</v>
      </c>
      <c r="K1033" s="507">
        <f t="shared" si="251"/>
        <v>70651.680000000008</v>
      </c>
      <c r="L1033" s="521">
        <f t="shared" ref="L1033:W1033" si="254">$J$1033</f>
        <v>5887.64</v>
      </c>
      <c r="M1033" s="521">
        <f t="shared" si="254"/>
        <v>5887.64</v>
      </c>
      <c r="N1033" s="521">
        <f t="shared" si="254"/>
        <v>5887.64</v>
      </c>
      <c r="O1033" s="521">
        <f t="shared" si="254"/>
        <v>5887.64</v>
      </c>
      <c r="P1033" s="521">
        <f t="shared" si="254"/>
        <v>5887.64</v>
      </c>
      <c r="Q1033" s="521">
        <f t="shared" si="254"/>
        <v>5887.64</v>
      </c>
      <c r="R1033" s="521">
        <f t="shared" si="254"/>
        <v>5887.64</v>
      </c>
      <c r="S1033" s="521">
        <f t="shared" si="254"/>
        <v>5887.64</v>
      </c>
      <c r="T1033" s="521">
        <f t="shared" si="254"/>
        <v>5887.64</v>
      </c>
      <c r="U1033" s="521">
        <f t="shared" si="254"/>
        <v>5887.64</v>
      </c>
      <c r="V1033" s="521">
        <f t="shared" si="254"/>
        <v>5887.64</v>
      </c>
      <c r="W1033" s="521">
        <f t="shared" si="254"/>
        <v>5887.64</v>
      </c>
      <c r="X1033" s="521">
        <f t="shared" si="252"/>
        <v>70651.680000000008</v>
      </c>
      <c r="Y1033" s="508"/>
    </row>
    <row r="1034" spans="1:25" ht="30">
      <c r="A1034" s="619"/>
      <c r="B1034" s="617" t="s">
        <v>1440</v>
      </c>
      <c r="C1034" s="590" t="s">
        <v>1259</v>
      </c>
      <c r="D1034" s="619"/>
      <c r="E1034" s="538"/>
      <c r="F1034" s="597"/>
      <c r="G1034" s="546"/>
      <c r="H1034" s="538">
        <v>12</v>
      </c>
      <c r="I1034" s="520"/>
      <c r="J1034" s="507">
        <f>133.81*1.1 *40</f>
        <v>5887.64</v>
      </c>
      <c r="K1034" s="507">
        <f t="shared" si="251"/>
        <v>70651.680000000008</v>
      </c>
      <c r="L1034" s="521">
        <f t="shared" ref="L1034:W1034" si="255">$J$1034</f>
        <v>5887.64</v>
      </c>
      <c r="M1034" s="521">
        <f t="shared" si="255"/>
        <v>5887.64</v>
      </c>
      <c r="N1034" s="521">
        <f t="shared" si="255"/>
        <v>5887.64</v>
      </c>
      <c r="O1034" s="521">
        <f t="shared" si="255"/>
        <v>5887.64</v>
      </c>
      <c r="P1034" s="521">
        <f t="shared" si="255"/>
        <v>5887.64</v>
      </c>
      <c r="Q1034" s="521">
        <f t="shared" si="255"/>
        <v>5887.64</v>
      </c>
      <c r="R1034" s="521">
        <f t="shared" si="255"/>
        <v>5887.64</v>
      </c>
      <c r="S1034" s="521">
        <f t="shared" si="255"/>
        <v>5887.64</v>
      </c>
      <c r="T1034" s="521">
        <f t="shared" si="255"/>
        <v>5887.64</v>
      </c>
      <c r="U1034" s="521">
        <f t="shared" si="255"/>
        <v>5887.64</v>
      </c>
      <c r="V1034" s="521">
        <f t="shared" si="255"/>
        <v>5887.64</v>
      </c>
      <c r="W1034" s="521">
        <f t="shared" si="255"/>
        <v>5887.64</v>
      </c>
      <c r="X1034" s="521">
        <f t="shared" si="252"/>
        <v>70651.680000000008</v>
      </c>
      <c r="Y1034" s="508"/>
    </row>
    <row r="1035" spans="1:25">
      <c r="A1035" s="619"/>
      <c r="B1035" s="617" t="s">
        <v>1441</v>
      </c>
      <c r="C1035" s="590" t="s">
        <v>1256</v>
      </c>
      <c r="D1035" s="619"/>
      <c r="E1035" s="538"/>
      <c r="F1035" s="597"/>
      <c r="G1035" s="546"/>
      <c r="H1035" s="538">
        <v>12</v>
      </c>
      <c r="I1035" s="520"/>
      <c r="J1035" s="507">
        <v>1500</v>
      </c>
      <c r="K1035" s="507">
        <f t="shared" si="251"/>
        <v>18000</v>
      </c>
      <c r="L1035" s="521">
        <f t="shared" ref="L1035:L1056" si="256">K1035/12</f>
        <v>1500</v>
      </c>
      <c r="M1035" s="521">
        <f t="shared" ref="M1035:W1035" si="257">L1035</f>
        <v>1500</v>
      </c>
      <c r="N1035" s="521">
        <f t="shared" si="257"/>
        <v>1500</v>
      </c>
      <c r="O1035" s="521">
        <f t="shared" si="257"/>
        <v>1500</v>
      </c>
      <c r="P1035" s="521">
        <f t="shared" si="257"/>
        <v>1500</v>
      </c>
      <c r="Q1035" s="521">
        <f t="shared" si="257"/>
        <v>1500</v>
      </c>
      <c r="R1035" s="521">
        <f t="shared" si="257"/>
        <v>1500</v>
      </c>
      <c r="S1035" s="521">
        <f t="shared" si="257"/>
        <v>1500</v>
      </c>
      <c r="T1035" s="521">
        <f t="shared" si="257"/>
        <v>1500</v>
      </c>
      <c r="U1035" s="521">
        <f t="shared" si="257"/>
        <v>1500</v>
      </c>
      <c r="V1035" s="521">
        <f t="shared" si="257"/>
        <v>1500</v>
      </c>
      <c r="W1035" s="521">
        <f t="shared" si="257"/>
        <v>1500</v>
      </c>
      <c r="X1035" s="521">
        <f t="shared" si="252"/>
        <v>18000</v>
      </c>
      <c r="Y1035" s="508"/>
    </row>
    <row r="1036" spans="1:25">
      <c r="A1036" s="619"/>
      <c r="B1036" s="617" t="s">
        <v>1441</v>
      </c>
      <c r="C1036" s="590" t="s">
        <v>1413</v>
      </c>
      <c r="D1036" s="619"/>
      <c r="E1036" s="538"/>
      <c r="F1036" s="597"/>
      <c r="G1036" s="546"/>
      <c r="H1036" s="538">
        <v>5</v>
      </c>
      <c r="I1036" s="520"/>
      <c r="J1036" s="507">
        <f t="shared" ref="J1036:J1054" si="258">133.81*1.1 *40</f>
        <v>5887.64</v>
      </c>
      <c r="K1036" s="507">
        <f t="shared" si="251"/>
        <v>29438.2</v>
      </c>
      <c r="L1036" s="521">
        <f t="shared" si="256"/>
        <v>2453.1833333333334</v>
      </c>
      <c r="M1036" s="521">
        <f t="shared" ref="M1036:W1036" si="259">L1036</f>
        <v>2453.1833333333334</v>
      </c>
      <c r="N1036" s="521">
        <f t="shared" si="259"/>
        <v>2453.1833333333334</v>
      </c>
      <c r="O1036" s="521">
        <f t="shared" si="259"/>
        <v>2453.1833333333334</v>
      </c>
      <c r="P1036" s="521">
        <f t="shared" si="259"/>
        <v>2453.1833333333334</v>
      </c>
      <c r="Q1036" s="521">
        <f t="shared" si="259"/>
        <v>2453.1833333333334</v>
      </c>
      <c r="R1036" s="521">
        <f t="shared" si="259"/>
        <v>2453.1833333333334</v>
      </c>
      <c r="S1036" s="521">
        <f t="shared" si="259"/>
        <v>2453.1833333333334</v>
      </c>
      <c r="T1036" s="521">
        <f t="shared" si="259"/>
        <v>2453.1833333333334</v>
      </c>
      <c r="U1036" s="521">
        <f t="shared" si="259"/>
        <v>2453.1833333333334</v>
      </c>
      <c r="V1036" s="521">
        <f t="shared" si="259"/>
        <v>2453.1833333333334</v>
      </c>
      <c r="W1036" s="521">
        <f t="shared" si="259"/>
        <v>2453.1833333333334</v>
      </c>
      <c r="X1036" s="521">
        <f t="shared" si="252"/>
        <v>29438.200000000008</v>
      </c>
      <c r="Y1036" s="508"/>
    </row>
    <row r="1037" spans="1:25">
      <c r="A1037" s="619"/>
      <c r="B1037" s="617" t="s">
        <v>1441</v>
      </c>
      <c r="C1037" s="590" t="s">
        <v>1259</v>
      </c>
      <c r="D1037" s="619"/>
      <c r="E1037" s="538"/>
      <c r="F1037" s="597"/>
      <c r="G1037" s="546"/>
      <c r="H1037" s="538">
        <v>5</v>
      </c>
      <c r="I1037" s="520"/>
      <c r="J1037" s="507">
        <f t="shared" si="258"/>
        <v>5887.64</v>
      </c>
      <c r="K1037" s="507">
        <f t="shared" si="251"/>
        <v>29438.2</v>
      </c>
      <c r="L1037" s="521">
        <f t="shared" si="256"/>
        <v>2453.1833333333334</v>
      </c>
      <c r="M1037" s="521">
        <f t="shared" ref="M1037:W1037" si="260">L1037</f>
        <v>2453.1833333333334</v>
      </c>
      <c r="N1037" s="521">
        <f t="shared" si="260"/>
        <v>2453.1833333333334</v>
      </c>
      <c r="O1037" s="521">
        <f t="shared" si="260"/>
        <v>2453.1833333333334</v>
      </c>
      <c r="P1037" s="521">
        <f t="shared" si="260"/>
        <v>2453.1833333333334</v>
      </c>
      <c r="Q1037" s="521">
        <f t="shared" si="260"/>
        <v>2453.1833333333334</v>
      </c>
      <c r="R1037" s="521">
        <f t="shared" si="260"/>
        <v>2453.1833333333334</v>
      </c>
      <c r="S1037" s="521">
        <f t="shared" si="260"/>
        <v>2453.1833333333334</v>
      </c>
      <c r="T1037" s="521">
        <f t="shared" si="260"/>
        <v>2453.1833333333334</v>
      </c>
      <c r="U1037" s="521">
        <f t="shared" si="260"/>
        <v>2453.1833333333334</v>
      </c>
      <c r="V1037" s="521">
        <f t="shared" si="260"/>
        <v>2453.1833333333334</v>
      </c>
      <c r="W1037" s="521">
        <f t="shared" si="260"/>
        <v>2453.1833333333334</v>
      </c>
      <c r="X1037" s="521">
        <f t="shared" si="252"/>
        <v>29438.200000000008</v>
      </c>
      <c r="Y1037" s="508"/>
    </row>
    <row r="1038" spans="1:25">
      <c r="A1038" s="619"/>
      <c r="B1038" s="617" t="s">
        <v>1441</v>
      </c>
      <c r="C1038" s="620"/>
      <c r="D1038" s="619"/>
      <c r="E1038" s="538"/>
      <c r="F1038" s="597"/>
      <c r="G1038" s="546"/>
      <c r="H1038" s="538">
        <v>5</v>
      </c>
      <c r="I1038" s="520"/>
      <c r="J1038" s="507">
        <f t="shared" si="258"/>
        <v>5887.64</v>
      </c>
      <c r="K1038" s="507">
        <f t="shared" si="251"/>
        <v>29438.2</v>
      </c>
      <c r="L1038" s="521">
        <f t="shared" si="256"/>
        <v>2453.1833333333334</v>
      </c>
      <c r="M1038" s="521">
        <f t="shared" ref="M1038:W1038" si="261">L1038</f>
        <v>2453.1833333333334</v>
      </c>
      <c r="N1038" s="521">
        <f t="shared" si="261"/>
        <v>2453.1833333333334</v>
      </c>
      <c r="O1038" s="521">
        <f t="shared" si="261"/>
        <v>2453.1833333333334</v>
      </c>
      <c r="P1038" s="521">
        <f t="shared" si="261"/>
        <v>2453.1833333333334</v>
      </c>
      <c r="Q1038" s="521">
        <f t="shared" si="261"/>
        <v>2453.1833333333334</v>
      </c>
      <c r="R1038" s="521">
        <f t="shared" si="261"/>
        <v>2453.1833333333334</v>
      </c>
      <c r="S1038" s="521">
        <f t="shared" si="261"/>
        <v>2453.1833333333334</v>
      </c>
      <c r="T1038" s="521">
        <f t="shared" si="261"/>
        <v>2453.1833333333334</v>
      </c>
      <c r="U1038" s="521">
        <f t="shared" si="261"/>
        <v>2453.1833333333334</v>
      </c>
      <c r="V1038" s="521">
        <f t="shared" si="261"/>
        <v>2453.1833333333334</v>
      </c>
      <c r="W1038" s="521">
        <f t="shared" si="261"/>
        <v>2453.1833333333334</v>
      </c>
      <c r="X1038" s="521">
        <f t="shared" si="252"/>
        <v>29438.200000000008</v>
      </c>
      <c r="Y1038" s="508"/>
    </row>
    <row r="1039" spans="1:25">
      <c r="A1039" s="619"/>
      <c r="B1039" s="617" t="s">
        <v>1441</v>
      </c>
      <c r="C1039" s="620"/>
      <c r="D1039" s="619"/>
      <c r="E1039" s="538"/>
      <c r="F1039" s="597"/>
      <c r="G1039" s="546"/>
      <c r="H1039" s="538">
        <v>5</v>
      </c>
      <c r="I1039" s="520"/>
      <c r="J1039" s="507">
        <f t="shared" si="258"/>
        <v>5887.64</v>
      </c>
      <c r="K1039" s="507">
        <f t="shared" si="251"/>
        <v>29438.2</v>
      </c>
      <c r="L1039" s="521">
        <f t="shared" si="256"/>
        <v>2453.1833333333334</v>
      </c>
      <c r="M1039" s="521">
        <f t="shared" ref="M1039:W1039" si="262">L1039</f>
        <v>2453.1833333333334</v>
      </c>
      <c r="N1039" s="521">
        <f t="shared" si="262"/>
        <v>2453.1833333333334</v>
      </c>
      <c r="O1039" s="521">
        <f t="shared" si="262"/>
        <v>2453.1833333333334</v>
      </c>
      <c r="P1039" s="521">
        <f t="shared" si="262"/>
        <v>2453.1833333333334</v>
      </c>
      <c r="Q1039" s="521">
        <f t="shared" si="262"/>
        <v>2453.1833333333334</v>
      </c>
      <c r="R1039" s="521">
        <f t="shared" si="262"/>
        <v>2453.1833333333334</v>
      </c>
      <c r="S1039" s="521">
        <f t="shared" si="262"/>
        <v>2453.1833333333334</v>
      </c>
      <c r="T1039" s="521">
        <f t="shared" si="262"/>
        <v>2453.1833333333334</v>
      </c>
      <c r="U1039" s="521">
        <f t="shared" si="262"/>
        <v>2453.1833333333334</v>
      </c>
      <c r="V1039" s="521">
        <f t="shared" si="262"/>
        <v>2453.1833333333334</v>
      </c>
      <c r="W1039" s="521">
        <f t="shared" si="262"/>
        <v>2453.1833333333334</v>
      </c>
      <c r="X1039" s="521">
        <f t="shared" si="252"/>
        <v>29438.200000000008</v>
      </c>
      <c r="Y1039" s="508"/>
    </row>
    <row r="1040" spans="1:25">
      <c r="A1040" s="619"/>
      <c r="B1040" s="617" t="s">
        <v>1441</v>
      </c>
      <c r="C1040" s="620"/>
      <c r="D1040" s="619"/>
      <c r="E1040" s="538"/>
      <c r="F1040" s="597"/>
      <c r="G1040" s="546"/>
      <c r="H1040" s="538">
        <v>5</v>
      </c>
      <c r="I1040" s="520"/>
      <c r="J1040" s="507">
        <f t="shared" si="258"/>
        <v>5887.64</v>
      </c>
      <c r="K1040" s="507">
        <f t="shared" si="251"/>
        <v>29438.2</v>
      </c>
      <c r="L1040" s="521">
        <f t="shared" si="256"/>
        <v>2453.1833333333334</v>
      </c>
      <c r="M1040" s="521">
        <f t="shared" ref="M1040:W1040" si="263">L1040</f>
        <v>2453.1833333333334</v>
      </c>
      <c r="N1040" s="521">
        <f t="shared" si="263"/>
        <v>2453.1833333333334</v>
      </c>
      <c r="O1040" s="521">
        <f t="shared" si="263"/>
        <v>2453.1833333333334</v>
      </c>
      <c r="P1040" s="521">
        <f t="shared" si="263"/>
        <v>2453.1833333333334</v>
      </c>
      <c r="Q1040" s="521">
        <f t="shared" si="263"/>
        <v>2453.1833333333334</v>
      </c>
      <c r="R1040" s="521">
        <f t="shared" si="263"/>
        <v>2453.1833333333334</v>
      </c>
      <c r="S1040" s="521">
        <f t="shared" si="263"/>
        <v>2453.1833333333334</v>
      </c>
      <c r="T1040" s="521">
        <f t="shared" si="263"/>
        <v>2453.1833333333334</v>
      </c>
      <c r="U1040" s="521">
        <f t="shared" si="263"/>
        <v>2453.1833333333334</v>
      </c>
      <c r="V1040" s="521">
        <f t="shared" si="263"/>
        <v>2453.1833333333334</v>
      </c>
      <c r="W1040" s="521">
        <f t="shared" si="263"/>
        <v>2453.1833333333334</v>
      </c>
      <c r="X1040" s="521">
        <f t="shared" si="252"/>
        <v>29438.200000000008</v>
      </c>
      <c r="Y1040" s="508"/>
    </row>
    <row r="1041" spans="1:25">
      <c r="A1041" s="619"/>
      <c r="B1041" s="617" t="s">
        <v>1441</v>
      </c>
      <c r="C1041" s="620"/>
      <c r="D1041" s="619"/>
      <c r="E1041" s="538"/>
      <c r="F1041" s="597"/>
      <c r="G1041" s="546"/>
      <c r="H1041" s="538">
        <v>5</v>
      </c>
      <c r="I1041" s="520"/>
      <c r="J1041" s="507">
        <f t="shared" si="258"/>
        <v>5887.64</v>
      </c>
      <c r="K1041" s="507">
        <f t="shared" si="251"/>
        <v>29438.2</v>
      </c>
      <c r="L1041" s="521">
        <f t="shared" si="256"/>
        <v>2453.1833333333334</v>
      </c>
      <c r="M1041" s="521">
        <f t="shared" ref="M1041:W1041" si="264">L1041</f>
        <v>2453.1833333333334</v>
      </c>
      <c r="N1041" s="521">
        <f t="shared" si="264"/>
        <v>2453.1833333333334</v>
      </c>
      <c r="O1041" s="521">
        <f t="shared" si="264"/>
        <v>2453.1833333333334</v>
      </c>
      <c r="P1041" s="521">
        <f t="shared" si="264"/>
        <v>2453.1833333333334</v>
      </c>
      <c r="Q1041" s="521">
        <f t="shared" si="264"/>
        <v>2453.1833333333334</v>
      </c>
      <c r="R1041" s="521">
        <f t="shared" si="264"/>
        <v>2453.1833333333334</v>
      </c>
      <c r="S1041" s="521">
        <f t="shared" si="264"/>
        <v>2453.1833333333334</v>
      </c>
      <c r="T1041" s="521">
        <f t="shared" si="264"/>
        <v>2453.1833333333334</v>
      </c>
      <c r="U1041" s="521">
        <f t="shared" si="264"/>
        <v>2453.1833333333334</v>
      </c>
      <c r="V1041" s="521">
        <f t="shared" si="264"/>
        <v>2453.1833333333334</v>
      </c>
      <c r="W1041" s="521">
        <f t="shared" si="264"/>
        <v>2453.1833333333334</v>
      </c>
      <c r="X1041" s="521">
        <f t="shared" si="252"/>
        <v>29438.200000000008</v>
      </c>
      <c r="Y1041" s="508"/>
    </row>
    <row r="1042" spans="1:25">
      <c r="A1042" s="619"/>
      <c r="B1042" s="617" t="s">
        <v>1441</v>
      </c>
      <c r="C1042" s="620"/>
      <c r="D1042" s="619"/>
      <c r="E1042" s="538"/>
      <c r="F1042" s="597"/>
      <c r="G1042" s="546"/>
      <c r="H1042" s="538">
        <v>5</v>
      </c>
      <c r="I1042" s="520"/>
      <c r="J1042" s="507">
        <f t="shared" si="258"/>
        <v>5887.64</v>
      </c>
      <c r="K1042" s="507">
        <f t="shared" si="251"/>
        <v>29438.2</v>
      </c>
      <c r="L1042" s="521">
        <f t="shared" si="256"/>
        <v>2453.1833333333334</v>
      </c>
      <c r="M1042" s="521">
        <f t="shared" ref="M1042:W1042" si="265">L1042</f>
        <v>2453.1833333333334</v>
      </c>
      <c r="N1042" s="521">
        <f t="shared" si="265"/>
        <v>2453.1833333333334</v>
      </c>
      <c r="O1042" s="521">
        <f t="shared" si="265"/>
        <v>2453.1833333333334</v>
      </c>
      <c r="P1042" s="521">
        <f t="shared" si="265"/>
        <v>2453.1833333333334</v>
      </c>
      <c r="Q1042" s="521">
        <f t="shared" si="265"/>
        <v>2453.1833333333334</v>
      </c>
      <c r="R1042" s="521">
        <f t="shared" si="265"/>
        <v>2453.1833333333334</v>
      </c>
      <c r="S1042" s="521">
        <f t="shared" si="265"/>
        <v>2453.1833333333334</v>
      </c>
      <c r="T1042" s="521">
        <f t="shared" si="265"/>
        <v>2453.1833333333334</v>
      </c>
      <c r="U1042" s="521">
        <f t="shared" si="265"/>
        <v>2453.1833333333334</v>
      </c>
      <c r="V1042" s="521">
        <f t="shared" si="265"/>
        <v>2453.1833333333334</v>
      </c>
      <c r="W1042" s="521">
        <f t="shared" si="265"/>
        <v>2453.1833333333334</v>
      </c>
      <c r="X1042" s="521">
        <f t="shared" si="252"/>
        <v>29438.200000000008</v>
      </c>
      <c r="Y1042" s="508"/>
    </row>
    <row r="1043" spans="1:25">
      <c r="A1043" s="619"/>
      <c r="B1043" s="617" t="s">
        <v>1441</v>
      </c>
      <c r="C1043" s="620"/>
      <c r="D1043" s="619"/>
      <c r="E1043" s="538"/>
      <c r="F1043" s="597"/>
      <c r="G1043" s="546"/>
      <c r="H1043" s="538">
        <v>5</v>
      </c>
      <c r="I1043" s="520"/>
      <c r="J1043" s="507">
        <f t="shared" si="258"/>
        <v>5887.64</v>
      </c>
      <c r="K1043" s="507">
        <f t="shared" si="251"/>
        <v>29438.2</v>
      </c>
      <c r="L1043" s="521">
        <f t="shared" si="256"/>
        <v>2453.1833333333334</v>
      </c>
      <c r="M1043" s="521">
        <f t="shared" ref="M1043:W1043" si="266">L1043</f>
        <v>2453.1833333333334</v>
      </c>
      <c r="N1043" s="521">
        <f t="shared" si="266"/>
        <v>2453.1833333333334</v>
      </c>
      <c r="O1043" s="521">
        <f t="shared" si="266"/>
        <v>2453.1833333333334</v>
      </c>
      <c r="P1043" s="521">
        <f t="shared" si="266"/>
        <v>2453.1833333333334</v>
      </c>
      <c r="Q1043" s="521">
        <f t="shared" si="266"/>
        <v>2453.1833333333334</v>
      </c>
      <c r="R1043" s="521">
        <f t="shared" si="266"/>
        <v>2453.1833333333334</v>
      </c>
      <c r="S1043" s="521">
        <f t="shared" si="266"/>
        <v>2453.1833333333334</v>
      </c>
      <c r="T1043" s="521">
        <f t="shared" si="266"/>
        <v>2453.1833333333334</v>
      </c>
      <c r="U1043" s="521">
        <f t="shared" si="266"/>
        <v>2453.1833333333334</v>
      </c>
      <c r="V1043" s="521">
        <f t="shared" si="266"/>
        <v>2453.1833333333334</v>
      </c>
      <c r="W1043" s="521">
        <f t="shared" si="266"/>
        <v>2453.1833333333334</v>
      </c>
      <c r="X1043" s="521">
        <f t="shared" si="252"/>
        <v>29438.200000000008</v>
      </c>
      <c r="Y1043" s="508"/>
    </row>
    <row r="1044" spans="1:25">
      <c r="A1044" s="619"/>
      <c r="B1044" s="617" t="s">
        <v>1441</v>
      </c>
      <c r="C1044" s="620"/>
      <c r="D1044" s="619"/>
      <c r="E1044" s="538"/>
      <c r="F1044" s="597"/>
      <c r="G1044" s="546"/>
      <c r="H1044" s="538">
        <v>5</v>
      </c>
      <c r="I1044" s="520"/>
      <c r="J1044" s="507">
        <f t="shared" si="258"/>
        <v>5887.64</v>
      </c>
      <c r="K1044" s="507">
        <f t="shared" si="251"/>
        <v>29438.2</v>
      </c>
      <c r="L1044" s="521">
        <f t="shared" si="256"/>
        <v>2453.1833333333334</v>
      </c>
      <c r="M1044" s="521">
        <f t="shared" ref="M1044:W1044" si="267">L1044</f>
        <v>2453.1833333333334</v>
      </c>
      <c r="N1044" s="521">
        <f t="shared" si="267"/>
        <v>2453.1833333333334</v>
      </c>
      <c r="O1044" s="521">
        <f t="shared" si="267"/>
        <v>2453.1833333333334</v>
      </c>
      <c r="P1044" s="521">
        <f t="shared" si="267"/>
        <v>2453.1833333333334</v>
      </c>
      <c r="Q1044" s="521">
        <f t="shared" si="267"/>
        <v>2453.1833333333334</v>
      </c>
      <c r="R1044" s="521">
        <f t="shared" si="267"/>
        <v>2453.1833333333334</v>
      </c>
      <c r="S1044" s="521">
        <f t="shared" si="267"/>
        <v>2453.1833333333334</v>
      </c>
      <c r="T1044" s="521">
        <f t="shared" si="267"/>
        <v>2453.1833333333334</v>
      </c>
      <c r="U1044" s="521">
        <f t="shared" si="267"/>
        <v>2453.1833333333334</v>
      </c>
      <c r="V1044" s="521">
        <f t="shared" si="267"/>
        <v>2453.1833333333334</v>
      </c>
      <c r="W1044" s="521">
        <f t="shared" si="267"/>
        <v>2453.1833333333334</v>
      </c>
      <c r="X1044" s="521">
        <f t="shared" si="252"/>
        <v>29438.200000000008</v>
      </c>
      <c r="Y1044" s="508"/>
    </row>
    <row r="1045" spans="1:25">
      <c r="A1045" s="619"/>
      <c r="B1045" s="617" t="s">
        <v>1441</v>
      </c>
      <c r="C1045" s="620"/>
      <c r="D1045" s="619"/>
      <c r="E1045" s="538"/>
      <c r="F1045" s="597"/>
      <c r="G1045" s="546"/>
      <c r="H1045" s="538">
        <v>5</v>
      </c>
      <c r="I1045" s="520"/>
      <c r="J1045" s="507">
        <f t="shared" si="258"/>
        <v>5887.64</v>
      </c>
      <c r="K1045" s="507">
        <f t="shared" si="251"/>
        <v>29438.2</v>
      </c>
      <c r="L1045" s="521">
        <f t="shared" si="256"/>
        <v>2453.1833333333334</v>
      </c>
      <c r="M1045" s="521">
        <f t="shared" ref="M1045:W1045" si="268">L1045</f>
        <v>2453.1833333333334</v>
      </c>
      <c r="N1045" s="521">
        <f t="shared" si="268"/>
        <v>2453.1833333333334</v>
      </c>
      <c r="O1045" s="521">
        <f t="shared" si="268"/>
        <v>2453.1833333333334</v>
      </c>
      <c r="P1045" s="521">
        <f t="shared" si="268"/>
        <v>2453.1833333333334</v>
      </c>
      <c r="Q1045" s="521">
        <f t="shared" si="268"/>
        <v>2453.1833333333334</v>
      </c>
      <c r="R1045" s="521">
        <f t="shared" si="268"/>
        <v>2453.1833333333334</v>
      </c>
      <c r="S1045" s="521">
        <f t="shared" si="268"/>
        <v>2453.1833333333334</v>
      </c>
      <c r="T1045" s="521">
        <f t="shared" si="268"/>
        <v>2453.1833333333334</v>
      </c>
      <c r="U1045" s="521">
        <f t="shared" si="268"/>
        <v>2453.1833333333334</v>
      </c>
      <c r="V1045" s="521">
        <f t="shared" si="268"/>
        <v>2453.1833333333334</v>
      </c>
      <c r="W1045" s="521">
        <f t="shared" si="268"/>
        <v>2453.1833333333334</v>
      </c>
      <c r="X1045" s="521">
        <f t="shared" si="252"/>
        <v>29438.200000000008</v>
      </c>
      <c r="Y1045" s="508"/>
    </row>
    <row r="1046" spans="1:25">
      <c r="A1046" s="619"/>
      <c r="B1046" s="617" t="s">
        <v>1441</v>
      </c>
      <c r="C1046" s="620"/>
      <c r="D1046" s="619"/>
      <c r="E1046" s="538"/>
      <c r="F1046" s="597"/>
      <c r="G1046" s="546"/>
      <c r="H1046" s="538">
        <v>5</v>
      </c>
      <c r="I1046" s="520"/>
      <c r="J1046" s="507">
        <f t="shared" si="258"/>
        <v>5887.64</v>
      </c>
      <c r="K1046" s="507">
        <f t="shared" si="251"/>
        <v>29438.2</v>
      </c>
      <c r="L1046" s="521">
        <f t="shared" si="256"/>
        <v>2453.1833333333334</v>
      </c>
      <c r="M1046" s="521">
        <f t="shared" ref="M1046:W1046" si="269">L1046</f>
        <v>2453.1833333333334</v>
      </c>
      <c r="N1046" s="521">
        <f t="shared" si="269"/>
        <v>2453.1833333333334</v>
      </c>
      <c r="O1046" s="521">
        <f t="shared" si="269"/>
        <v>2453.1833333333334</v>
      </c>
      <c r="P1046" s="521">
        <f t="shared" si="269"/>
        <v>2453.1833333333334</v>
      </c>
      <c r="Q1046" s="521">
        <f t="shared" si="269"/>
        <v>2453.1833333333334</v>
      </c>
      <c r="R1046" s="521">
        <f t="shared" si="269"/>
        <v>2453.1833333333334</v>
      </c>
      <c r="S1046" s="521">
        <f t="shared" si="269"/>
        <v>2453.1833333333334</v>
      </c>
      <c r="T1046" s="521">
        <f t="shared" si="269"/>
        <v>2453.1833333333334</v>
      </c>
      <c r="U1046" s="521">
        <f t="shared" si="269"/>
        <v>2453.1833333333334</v>
      </c>
      <c r="V1046" s="521">
        <f t="shared" si="269"/>
        <v>2453.1833333333334</v>
      </c>
      <c r="W1046" s="521">
        <f t="shared" si="269"/>
        <v>2453.1833333333334</v>
      </c>
      <c r="X1046" s="521">
        <f t="shared" si="252"/>
        <v>29438.200000000008</v>
      </c>
      <c r="Y1046" s="508"/>
    </row>
    <row r="1047" spans="1:25">
      <c r="A1047" s="619"/>
      <c r="B1047" s="617" t="s">
        <v>1441</v>
      </c>
      <c r="C1047" s="620"/>
      <c r="D1047" s="619"/>
      <c r="E1047" s="538"/>
      <c r="F1047" s="597"/>
      <c r="G1047" s="546"/>
      <c r="H1047" s="538">
        <v>5</v>
      </c>
      <c r="I1047" s="520"/>
      <c r="J1047" s="507">
        <f t="shared" si="258"/>
        <v>5887.64</v>
      </c>
      <c r="K1047" s="507">
        <f t="shared" si="251"/>
        <v>29438.2</v>
      </c>
      <c r="L1047" s="521">
        <f t="shared" si="256"/>
        <v>2453.1833333333334</v>
      </c>
      <c r="M1047" s="521">
        <f t="shared" ref="M1047:W1047" si="270">L1047</f>
        <v>2453.1833333333334</v>
      </c>
      <c r="N1047" s="521">
        <f t="shared" si="270"/>
        <v>2453.1833333333334</v>
      </c>
      <c r="O1047" s="521">
        <f t="shared" si="270"/>
        <v>2453.1833333333334</v>
      </c>
      <c r="P1047" s="521">
        <f t="shared" si="270"/>
        <v>2453.1833333333334</v>
      </c>
      <c r="Q1047" s="521">
        <f t="shared" si="270"/>
        <v>2453.1833333333334</v>
      </c>
      <c r="R1047" s="521">
        <f t="shared" si="270"/>
        <v>2453.1833333333334</v>
      </c>
      <c r="S1047" s="521">
        <f t="shared" si="270"/>
        <v>2453.1833333333334</v>
      </c>
      <c r="T1047" s="521">
        <f t="shared" si="270"/>
        <v>2453.1833333333334</v>
      </c>
      <c r="U1047" s="521">
        <f t="shared" si="270"/>
        <v>2453.1833333333334</v>
      </c>
      <c r="V1047" s="521">
        <f t="shared" si="270"/>
        <v>2453.1833333333334</v>
      </c>
      <c r="W1047" s="521">
        <f t="shared" si="270"/>
        <v>2453.1833333333334</v>
      </c>
      <c r="X1047" s="521">
        <f t="shared" si="252"/>
        <v>29438.200000000008</v>
      </c>
      <c r="Y1047" s="508"/>
    </row>
    <row r="1048" spans="1:25">
      <c r="A1048" s="619"/>
      <c r="B1048" s="617" t="s">
        <v>1441</v>
      </c>
      <c r="C1048" s="620"/>
      <c r="D1048" s="619"/>
      <c r="E1048" s="538"/>
      <c r="F1048" s="597"/>
      <c r="G1048" s="546"/>
      <c r="H1048" s="538">
        <v>5</v>
      </c>
      <c r="I1048" s="520"/>
      <c r="J1048" s="507">
        <f t="shared" si="258"/>
        <v>5887.64</v>
      </c>
      <c r="K1048" s="507">
        <f t="shared" si="251"/>
        <v>29438.2</v>
      </c>
      <c r="L1048" s="521">
        <f t="shared" si="256"/>
        <v>2453.1833333333334</v>
      </c>
      <c r="M1048" s="521">
        <f t="shared" ref="M1048:W1048" si="271">L1048</f>
        <v>2453.1833333333334</v>
      </c>
      <c r="N1048" s="521">
        <f t="shared" si="271"/>
        <v>2453.1833333333334</v>
      </c>
      <c r="O1048" s="521">
        <f t="shared" si="271"/>
        <v>2453.1833333333334</v>
      </c>
      <c r="P1048" s="521">
        <f t="shared" si="271"/>
        <v>2453.1833333333334</v>
      </c>
      <c r="Q1048" s="521">
        <f t="shared" si="271"/>
        <v>2453.1833333333334</v>
      </c>
      <c r="R1048" s="521">
        <f t="shared" si="271"/>
        <v>2453.1833333333334</v>
      </c>
      <c r="S1048" s="521">
        <f t="shared" si="271"/>
        <v>2453.1833333333334</v>
      </c>
      <c r="T1048" s="521">
        <f t="shared" si="271"/>
        <v>2453.1833333333334</v>
      </c>
      <c r="U1048" s="521">
        <f t="shared" si="271"/>
        <v>2453.1833333333334</v>
      </c>
      <c r="V1048" s="521">
        <f t="shared" si="271"/>
        <v>2453.1833333333334</v>
      </c>
      <c r="W1048" s="521">
        <f t="shared" si="271"/>
        <v>2453.1833333333334</v>
      </c>
      <c r="X1048" s="521">
        <f t="shared" si="252"/>
        <v>29438.200000000008</v>
      </c>
      <c r="Y1048" s="508"/>
    </row>
    <row r="1049" spans="1:25">
      <c r="A1049" s="619"/>
      <c r="B1049" s="617" t="s">
        <v>1441</v>
      </c>
      <c r="C1049" s="620"/>
      <c r="D1049" s="619"/>
      <c r="E1049" s="538"/>
      <c r="F1049" s="597"/>
      <c r="G1049" s="546"/>
      <c r="H1049" s="538">
        <v>5</v>
      </c>
      <c r="I1049" s="520"/>
      <c r="J1049" s="507">
        <f t="shared" si="258"/>
        <v>5887.64</v>
      </c>
      <c r="K1049" s="507">
        <f t="shared" si="251"/>
        <v>29438.2</v>
      </c>
      <c r="L1049" s="521">
        <f t="shared" si="256"/>
        <v>2453.1833333333334</v>
      </c>
      <c r="M1049" s="521">
        <f t="shared" ref="M1049:W1049" si="272">L1049</f>
        <v>2453.1833333333334</v>
      </c>
      <c r="N1049" s="521">
        <f t="shared" si="272"/>
        <v>2453.1833333333334</v>
      </c>
      <c r="O1049" s="521">
        <f t="shared" si="272"/>
        <v>2453.1833333333334</v>
      </c>
      <c r="P1049" s="521">
        <f t="shared" si="272"/>
        <v>2453.1833333333334</v>
      </c>
      <c r="Q1049" s="521">
        <f t="shared" si="272"/>
        <v>2453.1833333333334</v>
      </c>
      <c r="R1049" s="521">
        <f t="shared" si="272"/>
        <v>2453.1833333333334</v>
      </c>
      <c r="S1049" s="521">
        <f t="shared" si="272"/>
        <v>2453.1833333333334</v>
      </c>
      <c r="T1049" s="521">
        <f t="shared" si="272"/>
        <v>2453.1833333333334</v>
      </c>
      <c r="U1049" s="521">
        <f t="shared" si="272"/>
        <v>2453.1833333333334</v>
      </c>
      <c r="V1049" s="521">
        <f t="shared" si="272"/>
        <v>2453.1833333333334</v>
      </c>
      <c r="W1049" s="521">
        <f t="shared" si="272"/>
        <v>2453.1833333333334</v>
      </c>
      <c r="X1049" s="521">
        <f t="shared" si="252"/>
        <v>29438.200000000008</v>
      </c>
      <c r="Y1049" s="508"/>
    </row>
    <row r="1050" spans="1:25">
      <c r="A1050" s="619"/>
      <c r="B1050" s="617" t="s">
        <v>1441</v>
      </c>
      <c r="C1050" s="620"/>
      <c r="D1050" s="619"/>
      <c r="E1050" s="538"/>
      <c r="F1050" s="597"/>
      <c r="G1050" s="546"/>
      <c r="H1050" s="538">
        <v>5</v>
      </c>
      <c r="I1050" s="520"/>
      <c r="J1050" s="507">
        <f t="shared" si="258"/>
        <v>5887.64</v>
      </c>
      <c r="K1050" s="507">
        <f t="shared" si="251"/>
        <v>29438.2</v>
      </c>
      <c r="L1050" s="521">
        <f t="shared" si="256"/>
        <v>2453.1833333333334</v>
      </c>
      <c r="M1050" s="521">
        <f t="shared" ref="M1050:W1050" si="273">L1050</f>
        <v>2453.1833333333334</v>
      </c>
      <c r="N1050" s="521">
        <f t="shared" si="273"/>
        <v>2453.1833333333334</v>
      </c>
      <c r="O1050" s="521">
        <f t="shared" si="273"/>
        <v>2453.1833333333334</v>
      </c>
      <c r="P1050" s="521">
        <f t="shared" si="273"/>
        <v>2453.1833333333334</v>
      </c>
      <c r="Q1050" s="521">
        <f t="shared" si="273"/>
        <v>2453.1833333333334</v>
      </c>
      <c r="R1050" s="521">
        <f t="shared" si="273"/>
        <v>2453.1833333333334</v>
      </c>
      <c r="S1050" s="521">
        <f t="shared" si="273"/>
        <v>2453.1833333333334</v>
      </c>
      <c r="T1050" s="521">
        <f t="shared" si="273"/>
        <v>2453.1833333333334</v>
      </c>
      <c r="U1050" s="521">
        <f t="shared" si="273"/>
        <v>2453.1833333333334</v>
      </c>
      <c r="V1050" s="521">
        <f t="shared" si="273"/>
        <v>2453.1833333333334</v>
      </c>
      <c r="W1050" s="521">
        <f t="shared" si="273"/>
        <v>2453.1833333333334</v>
      </c>
      <c r="X1050" s="521">
        <f t="shared" si="252"/>
        <v>29438.200000000008</v>
      </c>
      <c r="Y1050" s="508"/>
    </row>
    <row r="1051" spans="1:25">
      <c r="A1051" s="619"/>
      <c r="B1051" s="617" t="s">
        <v>1441</v>
      </c>
      <c r="C1051" s="620"/>
      <c r="D1051" s="619"/>
      <c r="E1051" s="538"/>
      <c r="F1051" s="597"/>
      <c r="G1051" s="546"/>
      <c r="H1051" s="538">
        <v>5</v>
      </c>
      <c r="I1051" s="520"/>
      <c r="J1051" s="507">
        <f t="shared" si="258"/>
        <v>5887.64</v>
      </c>
      <c r="K1051" s="507">
        <f t="shared" si="251"/>
        <v>29438.2</v>
      </c>
      <c r="L1051" s="521">
        <f t="shared" si="256"/>
        <v>2453.1833333333334</v>
      </c>
      <c r="M1051" s="521">
        <f t="shared" ref="M1051:W1051" si="274">L1051</f>
        <v>2453.1833333333334</v>
      </c>
      <c r="N1051" s="521">
        <f t="shared" si="274"/>
        <v>2453.1833333333334</v>
      </c>
      <c r="O1051" s="521">
        <f t="shared" si="274"/>
        <v>2453.1833333333334</v>
      </c>
      <c r="P1051" s="521">
        <f t="shared" si="274"/>
        <v>2453.1833333333334</v>
      </c>
      <c r="Q1051" s="521">
        <f t="shared" si="274"/>
        <v>2453.1833333333334</v>
      </c>
      <c r="R1051" s="521">
        <f t="shared" si="274"/>
        <v>2453.1833333333334</v>
      </c>
      <c r="S1051" s="521">
        <f t="shared" si="274"/>
        <v>2453.1833333333334</v>
      </c>
      <c r="T1051" s="521">
        <f t="shared" si="274"/>
        <v>2453.1833333333334</v>
      </c>
      <c r="U1051" s="521">
        <f t="shared" si="274"/>
        <v>2453.1833333333334</v>
      </c>
      <c r="V1051" s="521">
        <f t="shared" si="274"/>
        <v>2453.1833333333334</v>
      </c>
      <c r="W1051" s="521">
        <f t="shared" si="274"/>
        <v>2453.1833333333334</v>
      </c>
      <c r="X1051" s="521">
        <f t="shared" si="252"/>
        <v>29438.200000000008</v>
      </c>
      <c r="Y1051" s="508"/>
    </row>
    <row r="1052" spans="1:25">
      <c r="A1052" s="619"/>
      <c r="B1052" s="617" t="s">
        <v>1441</v>
      </c>
      <c r="C1052" s="620"/>
      <c r="D1052" s="619"/>
      <c r="E1052" s="538"/>
      <c r="F1052" s="597"/>
      <c r="G1052" s="546"/>
      <c r="H1052" s="538">
        <v>5</v>
      </c>
      <c r="I1052" s="520"/>
      <c r="J1052" s="507">
        <f t="shared" si="258"/>
        <v>5887.64</v>
      </c>
      <c r="K1052" s="507">
        <f t="shared" si="251"/>
        <v>29438.2</v>
      </c>
      <c r="L1052" s="521">
        <f t="shared" si="256"/>
        <v>2453.1833333333334</v>
      </c>
      <c r="M1052" s="521">
        <f t="shared" ref="M1052:W1052" si="275">L1052</f>
        <v>2453.1833333333334</v>
      </c>
      <c r="N1052" s="521">
        <f t="shared" si="275"/>
        <v>2453.1833333333334</v>
      </c>
      <c r="O1052" s="521">
        <f t="shared" si="275"/>
        <v>2453.1833333333334</v>
      </c>
      <c r="P1052" s="521">
        <f t="shared" si="275"/>
        <v>2453.1833333333334</v>
      </c>
      <c r="Q1052" s="521">
        <f t="shared" si="275"/>
        <v>2453.1833333333334</v>
      </c>
      <c r="R1052" s="521">
        <f t="shared" si="275"/>
        <v>2453.1833333333334</v>
      </c>
      <c r="S1052" s="521">
        <f t="shared" si="275"/>
        <v>2453.1833333333334</v>
      </c>
      <c r="T1052" s="521">
        <f t="shared" si="275"/>
        <v>2453.1833333333334</v>
      </c>
      <c r="U1052" s="521">
        <f t="shared" si="275"/>
        <v>2453.1833333333334</v>
      </c>
      <c r="V1052" s="521">
        <f t="shared" si="275"/>
        <v>2453.1833333333334</v>
      </c>
      <c r="W1052" s="521">
        <f t="shared" si="275"/>
        <v>2453.1833333333334</v>
      </c>
      <c r="X1052" s="521">
        <f t="shared" si="252"/>
        <v>29438.200000000008</v>
      </c>
      <c r="Y1052" s="508"/>
    </row>
    <row r="1053" spans="1:25">
      <c r="A1053" s="619"/>
      <c r="B1053" s="617" t="s">
        <v>1441</v>
      </c>
      <c r="C1053" s="621"/>
      <c r="D1053" s="619"/>
      <c r="E1053" s="538"/>
      <c r="F1053" s="597"/>
      <c r="G1053" s="546"/>
      <c r="H1053" s="538">
        <v>5</v>
      </c>
      <c r="I1053" s="520"/>
      <c r="J1053" s="507">
        <f t="shared" si="258"/>
        <v>5887.64</v>
      </c>
      <c r="K1053" s="507">
        <f t="shared" si="251"/>
        <v>29438.2</v>
      </c>
      <c r="L1053" s="521">
        <f t="shared" si="256"/>
        <v>2453.1833333333334</v>
      </c>
      <c r="M1053" s="521">
        <f t="shared" ref="M1053:W1053" si="276">L1053</f>
        <v>2453.1833333333334</v>
      </c>
      <c r="N1053" s="521">
        <f t="shared" si="276"/>
        <v>2453.1833333333334</v>
      </c>
      <c r="O1053" s="521">
        <f t="shared" si="276"/>
        <v>2453.1833333333334</v>
      </c>
      <c r="P1053" s="521">
        <f t="shared" si="276"/>
        <v>2453.1833333333334</v>
      </c>
      <c r="Q1053" s="521">
        <f t="shared" si="276"/>
        <v>2453.1833333333334</v>
      </c>
      <c r="R1053" s="521">
        <f t="shared" si="276"/>
        <v>2453.1833333333334</v>
      </c>
      <c r="S1053" s="521">
        <f t="shared" si="276"/>
        <v>2453.1833333333334</v>
      </c>
      <c r="T1053" s="521">
        <f t="shared" si="276"/>
        <v>2453.1833333333334</v>
      </c>
      <c r="U1053" s="521">
        <f t="shared" si="276"/>
        <v>2453.1833333333334</v>
      </c>
      <c r="V1053" s="521">
        <f t="shared" si="276"/>
        <v>2453.1833333333334</v>
      </c>
      <c r="W1053" s="521">
        <f t="shared" si="276"/>
        <v>2453.1833333333334</v>
      </c>
      <c r="X1053" s="521">
        <f t="shared" si="252"/>
        <v>29438.200000000008</v>
      </c>
      <c r="Y1053" s="508"/>
    </row>
    <row r="1054" spans="1:25">
      <c r="A1054" s="619"/>
      <c r="B1054" s="617" t="s">
        <v>1441</v>
      </c>
      <c r="C1054" s="621"/>
      <c r="D1054" s="619"/>
      <c r="E1054" s="538"/>
      <c r="F1054" s="597"/>
      <c r="G1054" s="546"/>
      <c r="H1054" s="538">
        <v>5</v>
      </c>
      <c r="I1054" s="520"/>
      <c r="J1054" s="507">
        <f t="shared" si="258"/>
        <v>5887.64</v>
      </c>
      <c r="K1054" s="507">
        <f t="shared" si="251"/>
        <v>29438.2</v>
      </c>
      <c r="L1054" s="521">
        <f t="shared" si="256"/>
        <v>2453.1833333333334</v>
      </c>
      <c r="M1054" s="521">
        <f t="shared" ref="M1054:W1054" si="277">L1054</f>
        <v>2453.1833333333334</v>
      </c>
      <c r="N1054" s="521">
        <f t="shared" si="277"/>
        <v>2453.1833333333334</v>
      </c>
      <c r="O1054" s="521">
        <f t="shared" si="277"/>
        <v>2453.1833333333334</v>
      </c>
      <c r="P1054" s="521">
        <f t="shared" si="277"/>
        <v>2453.1833333333334</v>
      </c>
      <c r="Q1054" s="521">
        <f t="shared" si="277"/>
        <v>2453.1833333333334</v>
      </c>
      <c r="R1054" s="521">
        <f t="shared" si="277"/>
        <v>2453.1833333333334</v>
      </c>
      <c r="S1054" s="521">
        <f t="shared" si="277"/>
        <v>2453.1833333333334</v>
      </c>
      <c r="T1054" s="521">
        <f t="shared" si="277"/>
        <v>2453.1833333333334</v>
      </c>
      <c r="U1054" s="521">
        <f t="shared" si="277"/>
        <v>2453.1833333333334</v>
      </c>
      <c r="V1054" s="521">
        <f t="shared" si="277"/>
        <v>2453.1833333333334</v>
      </c>
      <c r="W1054" s="521">
        <f t="shared" si="277"/>
        <v>2453.1833333333334</v>
      </c>
      <c r="X1054" s="521">
        <f t="shared" si="252"/>
        <v>29438.200000000008</v>
      </c>
      <c r="Y1054" s="508"/>
    </row>
    <row r="1055" spans="1:25">
      <c r="A1055" s="619"/>
      <c r="B1055" s="617" t="s">
        <v>1441</v>
      </c>
      <c r="C1055" s="590" t="s">
        <v>1413</v>
      </c>
      <c r="D1055" s="619"/>
      <c r="E1055" s="538"/>
      <c r="F1055" s="597"/>
      <c r="G1055" s="546"/>
      <c r="H1055" s="538">
        <v>12</v>
      </c>
      <c r="I1055" s="520"/>
      <c r="J1055" s="507">
        <v>1500</v>
      </c>
      <c r="K1055" s="507">
        <f t="shared" si="251"/>
        <v>18000</v>
      </c>
      <c r="L1055" s="521">
        <f t="shared" si="256"/>
        <v>1500</v>
      </c>
      <c r="M1055" s="521">
        <f t="shared" ref="M1055:W1055" si="278">L1055</f>
        <v>1500</v>
      </c>
      <c r="N1055" s="521">
        <f t="shared" si="278"/>
        <v>1500</v>
      </c>
      <c r="O1055" s="521">
        <f t="shared" si="278"/>
        <v>1500</v>
      </c>
      <c r="P1055" s="521">
        <f t="shared" si="278"/>
        <v>1500</v>
      </c>
      <c r="Q1055" s="521">
        <f t="shared" si="278"/>
        <v>1500</v>
      </c>
      <c r="R1055" s="521">
        <f t="shared" si="278"/>
        <v>1500</v>
      </c>
      <c r="S1055" s="521">
        <f t="shared" si="278"/>
        <v>1500</v>
      </c>
      <c r="T1055" s="521">
        <f t="shared" si="278"/>
        <v>1500</v>
      </c>
      <c r="U1055" s="521">
        <f t="shared" si="278"/>
        <v>1500</v>
      </c>
      <c r="V1055" s="521">
        <f t="shared" si="278"/>
        <v>1500</v>
      </c>
      <c r="W1055" s="521">
        <f t="shared" si="278"/>
        <v>1500</v>
      </c>
      <c r="X1055" s="521">
        <f t="shared" si="252"/>
        <v>18000</v>
      </c>
      <c r="Y1055" s="508"/>
    </row>
    <row r="1056" spans="1:25">
      <c r="A1056" s="619"/>
      <c r="B1056" s="617" t="s">
        <v>1441</v>
      </c>
      <c r="C1056" s="590" t="s">
        <v>1259</v>
      </c>
      <c r="D1056" s="619"/>
      <c r="E1056" s="538"/>
      <c r="F1056" s="597"/>
      <c r="G1056" s="546"/>
      <c r="H1056" s="538">
        <v>12</v>
      </c>
      <c r="I1056" s="520"/>
      <c r="J1056" s="507">
        <v>1500</v>
      </c>
      <c r="K1056" s="507">
        <f t="shared" si="251"/>
        <v>18000</v>
      </c>
      <c r="L1056" s="521">
        <f t="shared" si="256"/>
        <v>1500</v>
      </c>
      <c r="M1056" s="521">
        <f t="shared" ref="M1056:W1056" si="279">L1056</f>
        <v>1500</v>
      </c>
      <c r="N1056" s="521">
        <f t="shared" si="279"/>
        <v>1500</v>
      </c>
      <c r="O1056" s="521">
        <f t="shared" si="279"/>
        <v>1500</v>
      </c>
      <c r="P1056" s="521">
        <f t="shared" si="279"/>
        <v>1500</v>
      </c>
      <c r="Q1056" s="521">
        <f t="shared" si="279"/>
        <v>1500</v>
      </c>
      <c r="R1056" s="521">
        <f t="shared" si="279"/>
        <v>1500</v>
      </c>
      <c r="S1056" s="521">
        <f t="shared" si="279"/>
        <v>1500</v>
      </c>
      <c r="T1056" s="521">
        <f t="shared" si="279"/>
        <v>1500</v>
      </c>
      <c r="U1056" s="521">
        <f t="shared" si="279"/>
        <v>1500</v>
      </c>
      <c r="V1056" s="521">
        <f t="shared" si="279"/>
        <v>1500</v>
      </c>
      <c r="W1056" s="521">
        <f t="shared" si="279"/>
        <v>1500</v>
      </c>
      <c r="X1056" s="521">
        <f t="shared" si="252"/>
        <v>18000</v>
      </c>
      <c r="Y1056" s="508"/>
    </row>
    <row r="1057" spans="1:25" ht="60">
      <c r="A1057" s="622" t="s">
        <v>1442</v>
      </c>
      <c r="B1057" s="542"/>
      <c r="C1057" s="517" t="s">
        <v>1256</v>
      </c>
      <c r="D1057" s="542" t="s">
        <v>1443</v>
      </c>
      <c r="E1057" s="542"/>
      <c r="F1057" s="542"/>
      <c r="G1057" s="542"/>
      <c r="H1057" s="517">
        <v>1</v>
      </c>
      <c r="I1057" s="542"/>
      <c r="J1057" s="507">
        <v>5000</v>
      </c>
      <c r="K1057" s="507">
        <f>J1057*H1057</f>
        <v>5000</v>
      </c>
      <c r="L1057" s="521">
        <v>0</v>
      </c>
      <c r="M1057" s="521">
        <v>5000</v>
      </c>
      <c r="N1057" s="521">
        <v>0</v>
      </c>
      <c r="O1057" s="521">
        <v>0</v>
      </c>
      <c r="P1057" s="521">
        <v>0</v>
      </c>
      <c r="Q1057" s="521">
        <v>0</v>
      </c>
      <c r="R1057" s="521">
        <v>0</v>
      </c>
      <c r="S1057" s="521">
        <v>0</v>
      </c>
      <c r="T1057" s="521">
        <v>0</v>
      </c>
      <c r="U1057" s="521">
        <v>0</v>
      </c>
      <c r="V1057" s="521">
        <v>0</v>
      </c>
      <c r="W1057" s="521">
        <v>0</v>
      </c>
      <c r="X1057" s="521">
        <f t="shared" si="252"/>
        <v>5000</v>
      </c>
      <c r="Y1057" s="508"/>
    </row>
    <row r="1058" spans="1:25" ht="60">
      <c r="A1058" s="622" t="s">
        <v>1444</v>
      </c>
      <c r="B1058" s="542"/>
      <c r="C1058" s="517" t="s">
        <v>1256</v>
      </c>
      <c r="D1058" s="542" t="s">
        <v>1443</v>
      </c>
      <c r="E1058" s="542"/>
      <c r="F1058" s="542"/>
      <c r="G1058" s="542"/>
      <c r="H1058" s="517">
        <v>1</v>
      </c>
      <c r="I1058" s="542"/>
      <c r="J1058" s="507">
        <v>5000</v>
      </c>
      <c r="K1058" s="507">
        <f>J1058*H1058</f>
        <v>5000</v>
      </c>
      <c r="L1058" s="521">
        <v>0</v>
      </c>
      <c r="M1058" s="521">
        <v>5000</v>
      </c>
      <c r="N1058" s="521">
        <v>0</v>
      </c>
      <c r="O1058" s="521">
        <v>0</v>
      </c>
      <c r="P1058" s="521">
        <v>0</v>
      </c>
      <c r="Q1058" s="521">
        <v>0</v>
      </c>
      <c r="R1058" s="521">
        <v>0</v>
      </c>
      <c r="S1058" s="521">
        <v>0</v>
      </c>
      <c r="T1058" s="521">
        <v>0</v>
      </c>
      <c r="U1058" s="521">
        <v>0</v>
      </c>
      <c r="V1058" s="521">
        <v>0</v>
      </c>
      <c r="W1058" s="521">
        <v>0</v>
      </c>
      <c r="X1058" s="521">
        <f t="shared" si="252"/>
        <v>5000</v>
      </c>
      <c r="Y1058" s="508"/>
    </row>
    <row r="1059" spans="1:25" ht="30">
      <c r="A1059" s="542" t="s">
        <v>1445</v>
      </c>
      <c r="B1059" s="597"/>
      <c r="C1059" s="517" t="s">
        <v>1256</v>
      </c>
      <c r="D1059" s="542"/>
      <c r="E1059" s="542"/>
      <c r="F1059" s="542"/>
      <c r="G1059" s="542"/>
      <c r="H1059" s="517">
        <v>1</v>
      </c>
      <c r="I1059" s="542"/>
      <c r="J1059" s="507">
        <f>10000*1.1</f>
        <v>11000</v>
      </c>
      <c r="K1059" s="507">
        <f>J1059</f>
        <v>11000</v>
      </c>
      <c r="L1059" s="521">
        <v>0</v>
      </c>
      <c r="M1059" s="521">
        <f>J1059</f>
        <v>11000</v>
      </c>
      <c r="N1059" s="521">
        <v>0</v>
      </c>
      <c r="O1059" s="521">
        <v>0</v>
      </c>
      <c r="P1059" s="521">
        <v>0</v>
      </c>
      <c r="Q1059" s="521">
        <v>0</v>
      </c>
      <c r="R1059" s="521">
        <v>0</v>
      </c>
      <c r="S1059" s="521">
        <v>0</v>
      </c>
      <c r="T1059" s="521">
        <v>0</v>
      </c>
      <c r="U1059" s="521">
        <v>0</v>
      </c>
      <c r="V1059" s="521">
        <v>0</v>
      </c>
      <c r="W1059" s="521">
        <v>0</v>
      </c>
      <c r="X1059" s="521">
        <f t="shared" si="252"/>
        <v>11000</v>
      </c>
      <c r="Y1059" s="508"/>
    </row>
    <row r="1060" spans="1:25">
      <c r="A1060" s="515" t="s">
        <v>1446</v>
      </c>
      <c r="B1060" s="516"/>
      <c r="C1060" s="517" t="s">
        <v>1256</v>
      </c>
      <c r="D1060" s="516"/>
      <c r="E1060" s="538">
        <v>3840</v>
      </c>
      <c r="F1060" s="515"/>
      <c r="G1060" s="546"/>
      <c r="H1060" s="538">
        <v>1</v>
      </c>
      <c r="I1060" s="520"/>
      <c r="J1060" s="507">
        <f>5000*1.1</f>
        <v>5500</v>
      </c>
      <c r="K1060" s="507">
        <f>J1060</f>
        <v>5500</v>
      </c>
      <c r="L1060" s="521">
        <v>0</v>
      </c>
      <c r="M1060" s="521">
        <f>J1060</f>
        <v>5500</v>
      </c>
      <c r="N1060" s="521">
        <v>0</v>
      </c>
      <c r="O1060" s="521">
        <v>0</v>
      </c>
      <c r="P1060" s="521">
        <v>0</v>
      </c>
      <c r="Q1060" s="521">
        <v>0</v>
      </c>
      <c r="R1060" s="521">
        <v>0</v>
      </c>
      <c r="S1060" s="521">
        <v>0</v>
      </c>
      <c r="T1060" s="521">
        <v>0</v>
      </c>
      <c r="U1060" s="521">
        <v>0</v>
      </c>
      <c r="V1060" s="521">
        <v>0</v>
      </c>
      <c r="W1060" s="521">
        <v>0</v>
      </c>
      <c r="X1060" s="521">
        <f t="shared" si="252"/>
        <v>5500</v>
      </c>
      <c r="Y1060" s="508"/>
    </row>
    <row r="1061" spans="1:25" ht="135">
      <c r="A1061" s="515" t="s">
        <v>1447</v>
      </c>
      <c r="B1061" s="516"/>
      <c r="C1061" s="517"/>
      <c r="D1061" s="516"/>
      <c r="E1061" s="538">
        <v>247326</v>
      </c>
      <c r="F1061" s="515" t="s">
        <v>1448</v>
      </c>
      <c r="G1061" s="546"/>
      <c r="H1061" s="538">
        <v>2</v>
      </c>
      <c r="I1061" s="520"/>
      <c r="J1061" s="507">
        <f>(10890*1.1)/2</f>
        <v>5989.5000000000009</v>
      </c>
      <c r="K1061" s="507">
        <f>J1061*2</f>
        <v>11979.000000000002</v>
      </c>
      <c r="L1061" s="521">
        <v>0</v>
      </c>
      <c r="M1061" s="521">
        <v>0</v>
      </c>
      <c r="N1061" s="521">
        <v>0</v>
      </c>
      <c r="O1061" s="521">
        <v>0</v>
      </c>
      <c r="P1061" s="521">
        <v>0</v>
      </c>
      <c r="Q1061" s="521">
        <f>J1061</f>
        <v>5989.5000000000009</v>
      </c>
      <c r="R1061" s="521">
        <v>0</v>
      </c>
      <c r="S1061" s="521">
        <v>0</v>
      </c>
      <c r="T1061" s="521">
        <v>0</v>
      </c>
      <c r="U1061" s="521">
        <v>0</v>
      </c>
      <c r="V1061" s="521">
        <v>0</v>
      </c>
      <c r="W1061" s="521">
        <v>0</v>
      </c>
      <c r="X1061" s="623">
        <f t="shared" si="252"/>
        <v>5989.5000000000009</v>
      </c>
      <c r="Y1061" s="508"/>
    </row>
    <row r="1062" spans="1:25">
      <c r="A1062" s="515" t="s">
        <v>1449</v>
      </c>
      <c r="B1062" s="516"/>
      <c r="C1062" s="517"/>
      <c r="D1062" s="516"/>
      <c r="E1062" s="538"/>
      <c r="F1062" s="515"/>
      <c r="G1062" s="546"/>
      <c r="H1062" s="538"/>
      <c r="I1062" s="520"/>
      <c r="J1062" s="507">
        <f>K1062/2</f>
        <v>1650.0000000000002</v>
      </c>
      <c r="K1062" s="507">
        <f>3000*1.1</f>
        <v>3300.0000000000005</v>
      </c>
      <c r="L1062" s="521">
        <v>0</v>
      </c>
      <c r="M1062" s="521">
        <v>0</v>
      </c>
      <c r="N1062" s="521">
        <v>0</v>
      </c>
      <c r="O1062" s="521">
        <v>0</v>
      </c>
      <c r="P1062" s="521">
        <v>0</v>
      </c>
      <c r="Q1062" s="521">
        <f>J1062</f>
        <v>1650.0000000000002</v>
      </c>
      <c r="R1062" s="521">
        <v>0</v>
      </c>
      <c r="S1062" s="521">
        <v>0</v>
      </c>
      <c r="T1062" s="521">
        <v>0</v>
      </c>
      <c r="U1062" s="521">
        <v>0</v>
      </c>
      <c r="V1062" s="521">
        <v>0</v>
      </c>
      <c r="W1062" s="521">
        <v>0</v>
      </c>
      <c r="X1062" s="521">
        <f t="shared" si="252"/>
        <v>1650.0000000000002</v>
      </c>
      <c r="Y1062" s="508"/>
    </row>
    <row r="1063" spans="1:25" ht="30">
      <c r="A1063" s="542" t="s">
        <v>1450</v>
      </c>
      <c r="B1063" s="542"/>
      <c r="C1063" s="517" t="s">
        <v>1256</v>
      </c>
      <c r="D1063" s="542"/>
      <c r="E1063" s="542"/>
      <c r="F1063" s="542"/>
      <c r="G1063" s="542"/>
      <c r="H1063" s="517">
        <v>1</v>
      </c>
      <c r="I1063" s="542"/>
      <c r="J1063" s="507">
        <v>50000</v>
      </c>
      <c r="K1063" s="507">
        <v>50000</v>
      </c>
      <c r="L1063" s="521">
        <f t="shared" ref="L1063:W1063" si="280">50000/12</f>
        <v>4166.666666666667</v>
      </c>
      <c r="M1063" s="521">
        <f t="shared" si="280"/>
        <v>4166.666666666667</v>
      </c>
      <c r="N1063" s="521">
        <f t="shared" si="280"/>
        <v>4166.666666666667</v>
      </c>
      <c r="O1063" s="521">
        <f t="shared" si="280"/>
        <v>4166.666666666667</v>
      </c>
      <c r="P1063" s="521">
        <f t="shared" si="280"/>
        <v>4166.666666666667</v>
      </c>
      <c r="Q1063" s="521">
        <f t="shared" si="280"/>
        <v>4166.666666666667</v>
      </c>
      <c r="R1063" s="521">
        <f t="shared" si="280"/>
        <v>4166.666666666667</v>
      </c>
      <c r="S1063" s="521">
        <f t="shared" si="280"/>
        <v>4166.666666666667</v>
      </c>
      <c r="T1063" s="521">
        <f t="shared" si="280"/>
        <v>4166.666666666667</v>
      </c>
      <c r="U1063" s="521">
        <f t="shared" si="280"/>
        <v>4166.666666666667</v>
      </c>
      <c r="V1063" s="521">
        <f t="shared" si="280"/>
        <v>4166.666666666667</v>
      </c>
      <c r="W1063" s="521">
        <f t="shared" si="280"/>
        <v>4166.666666666667</v>
      </c>
      <c r="X1063" s="521">
        <f t="shared" si="252"/>
        <v>49999.999999999993</v>
      </c>
      <c r="Y1063" s="508"/>
    </row>
    <row r="1064" spans="1:25">
      <c r="A1064" s="542"/>
      <c r="B1064" s="542"/>
      <c r="C1064" s="517"/>
      <c r="D1064" s="542"/>
      <c r="E1064" s="542"/>
      <c r="F1064" s="542"/>
      <c r="G1064" s="542"/>
      <c r="H1064" s="517"/>
      <c r="I1064" s="542"/>
      <c r="J1064" s="507"/>
      <c r="K1064" s="507"/>
      <c r="L1064" s="507"/>
      <c r="M1064" s="507"/>
      <c r="N1064" s="507"/>
      <c r="O1064" s="507"/>
      <c r="P1064" s="521"/>
      <c r="Q1064" s="521"/>
      <c r="R1064" s="521"/>
      <c r="S1064" s="521"/>
      <c r="T1064" s="521"/>
      <c r="U1064" s="521"/>
      <c r="V1064" s="521"/>
      <c r="W1064" s="521"/>
      <c r="X1064" s="521"/>
      <c r="Y1064" s="508"/>
    </row>
  </sheetData>
  <sheetProtection algorithmName="SHA-512" hashValue="iTT4zGZx368SWZM4ecGFh1UEQHg7oqXZONCNMtSjbaHxzfXJQ7BbKd8R7H5in3yHSvyshaILmOaVsq+egtKF9g==" saltValue="C3chPJYgWst1ylTjvZa6Jg==" spinCount="100000" sheet="1" objects="1" scenarios="1"/>
  <mergeCells count="153">
    <mergeCell ref="E963:E964"/>
    <mergeCell ref="E961:E962"/>
    <mergeCell ref="U620:U622"/>
    <mergeCell ref="A623:A624"/>
    <mergeCell ref="B623:B624"/>
    <mergeCell ref="C623:C624"/>
    <mergeCell ref="D623:D624"/>
    <mergeCell ref="E623:E624"/>
    <mergeCell ref="T623:T624"/>
    <mergeCell ref="U623:U624"/>
    <mergeCell ref="A629:A632"/>
    <mergeCell ref="B629:B632"/>
    <mergeCell ref="C629:C632"/>
    <mergeCell ref="D629:D632"/>
    <mergeCell ref="E629:E632"/>
    <mergeCell ref="T629:T632"/>
    <mergeCell ref="U629:U632"/>
    <mergeCell ref="T633:T636"/>
    <mergeCell ref="U633:U636"/>
    <mergeCell ref="A642:A644"/>
    <mergeCell ref="B642:B644"/>
    <mergeCell ref="C642:C644"/>
    <mergeCell ref="D642:D644"/>
    <mergeCell ref="E642:E644"/>
    <mergeCell ref="A1:T1"/>
    <mergeCell ref="A620:A622"/>
    <mergeCell ref="B620:B622"/>
    <mergeCell ref="C620:C622"/>
    <mergeCell ref="D620:D622"/>
    <mergeCell ref="E620:E622"/>
    <mergeCell ref="T620:T622"/>
    <mergeCell ref="T625:T628"/>
    <mergeCell ref="U625:U628"/>
    <mergeCell ref="A625:A628"/>
    <mergeCell ref="B625:B628"/>
    <mergeCell ref="C625:C628"/>
    <mergeCell ref="D625:D628"/>
    <mergeCell ref="E625:E628"/>
    <mergeCell ref="T642:T644"/>
    <mergeCell ref="U642:U644"/>
    <mergeCell ref="A633:A636"/>
    <mergeCell ref="B633:B636"/>
    <mergeCell ref="C633:C636"/>
    <mergeCell ref="D633:D636"/>
    <mergeCell ref="E633:E636"/>
    <mergeCell ref="T645:T647"/>
    <mergeCell ref="U645:U647"/>
    <mergeCell ref="A648:A650"/>
    <mergeCell ref="B648:B650"/>
    <mergeCell ref="C648:C650"/>
    <mergeCell ref="D648:D650"/>
    <mergeCell ref="E648:E650"/>
    <mergeCell ref="T648:T650"/>
    <mergeCell ref="U648:U650"/>
    <mergeCell ref="A645:A647"/>
    <mergeCell ref="B645:B647"/>
    <mergeCell ref="C645:C647"/>
    <mergeCell ref="D645:D647"/>
    <mergeCell ref="E645:E647"/>
    <mergeCell ref="T651:T653"/>
    <mergeCell ref="U651:U653"/>
    <mergeCell ref="A654:A655"/>
    <mergeCell ref="B654:B655"/>
    <mergeCell ref="C654:C655"/>
    <mergeCell ref="D654:D655"/>
    <mergeCell ref="E654:E655"/>
    <mergeCell ref="T654:T655"/>
    <mergeCell ref="U654:U655"/>
    <mergeCell ref="A651:A653"/>
    <mergeCell ref="B651:B653"/>
    <mergeCell ref="C651:C653"/>
    <mergeCell ref="D651:D653"/>
    <mergeCell ref="E651:E653"/>
    <mergeCell ref="T656:T658"/>
    <mergeCell ref="U656:U658"/>
    <mergeCell ref="A659:A661"/>
    <mergeCell ref="B659:B661"/>
    <mergeCell ref="C659:C661"/>
    <mergeCell ref="D659:D661"/>
    <mergeCell ref="E659:E661"/>
    <mergeCell ref="T659:T661"/>
    <mergeCell ref="U659:U661"/>
    <mergeCell ref="A656:A658"/>
    <mergeCell ref="B656:B658"/>
    <mergeCell ref="C656:C658"/>
    <mergeCell ref="D656:D658"/>
    <mergeCell ref="E656:E658"/>
    <mergeCell ref="T662:T664"/>
    <mergeCell ref="U662:U664"/>
    <mergeCell ref="A665:A667"/>
    <mergeCell ref="B665:B667"/>
    <mergeCell ref="C665:C667"/>
    <mergeCell ref="D665:D667"/>
    <mergeCell ref="E665:E667"/>
    <mergeCell ref="T665:T667"/>
    <mergeCell ref="U665:U667"/>
    <mergeCell ref="A662:A664"/>
    <mergeCell ref="B662:B664"/>
    <mergeCell ref="C662:C664"/>
    <mergeCell ref="D662:D664"/>
    <mergeCell ref="E662:E664"/>
    <mergeCell ref="T668:T670"/>
    <mergeCell ref="U668:U670"/>
    <mergeCell ref="A671:A673"/>
    <mergeCell ref="B671:B673"/>
    <mergeCell ref="C671:C673"/>
    <mergeCell ref="D671:D673"/>
    <mergeCell ref="E671:E673"/>
    <mergeCell ref="T671:T673"/>
    <mergeCell ref="U671:U673"/>
    <mergeCell ref="A668:A670"/>
    <mergeCell ref="B668:B670"/>
    <mergeCell ref="C668:C670"/>
    <mergeCell ref="D668:D670"/>
    <mergeCell ref="E668:E670"/>
    <mergeCell ref="T674:T676"/>
    <mergeCell ref="U674:U676"/>
    <mergeCell ref="A677:A679"/>
    <mergeCell ref="B677:B679"/>
    <mergeCell ref="C677:C679"/>
    <mergeCell ref="D677:D679"/>
    <mergeCell ref="E677:E679"/>
    <mergeCell ref="T677:T679"/>
    <mergeCell ref="U677:U679"/>
    <mergeCell ref="A674:A676"/>
    <mergeCell ref="B674:B676"/>
    <mergeCell ref="C674:C676"/>
    <mergeCell ref="D674:D676"/>
    <mergeCell ref="E674:E676"/>
    <mergeCell ref="T683:T685"/>
    <mergeCell ref="U683:U685"/>
    <mergeCell ref="A687:A689"/>
    <mergeCell ref="B687:B689"/>
    <mergeCell ref="C687:C689"/>
    <mergeCell ref="D687:D689"/>
    <mergeCell ref="E687:E689"/>
    <mergeCell ref="T687:T689"/>
    <mergeCell ref="U687:U689"/>
    <mergeCell ref="A683:A685"/>
    <mergeCell ref="B683:B685"/>
    <mergeCell ref="C683:C685"/>
    <mergeCell ref="D683:D685"/>
    <mergeCell ref="E683:E685"/>
    <mergeCell ref="T690:T692"/>
    <mergeCell ref="U690:U692"/>
    <mergeCell ref="A694:T694"/>
    <mergeCell ref="A759:C759"/>
    <mergeCell ref="A760:C760"/>
    <mergeCell ref="A690:A692"/>
    <mergeCell ref="B690:B692"/>
    <mergeCell ref="C690:C692"/>
    <mergeCell ref="D690:D692"/>
    <mergeCell ref="E690:E692"/>
  </mergeCells>
  <pageMargins left="0.511811024" right="0.511811024" top="0.78740157499999996" bottom="0.78740157499999996" header="0.31496062000000002" footer="0.31496062000000002"/>
  <pageSetup paperSize="9" scale="10" fitToWidth="0" orientation="landscape" r:id="rId1"/>
  <rowBreaks count="6" manualBreakCount="6">
    <brk id="211" max="16383" man="1"/>
    <brk id="255" max="16383" man="1"/>
    <brk id="371" max="16383" man="1"/>
    <brk id="454" max="16383" man="1"/>
    <brk id="613" max="16383" man="1"/>
    <brk id="760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6"/>
  <sheetViews>
    <sheetView tabSelected="1" topLeftCell="A498" workbookViewId="0">
      <selection activeCell="F515" sqref="F515"/>
    </sheetView>
  </sheetViews>
  <sheetFormatPr defaultRowHeight="15"/>
  <cols>
    <col min="1" max="1" width="19.28515625" customWidth="1"/>
    <col min="3" max="3" width="25" customWidth="1"/>
    <col min="9" max="10" width="15.42578125" customWidth="1"/>
    <col min="11" max="11" width="17.28515625" customWidth="1"/>
  </cols>
  <sheetData>
    <row r="1" spans="1:12" ht="45">
      <c r="A1" s="656" t="s">
        <v>616</v>
      </c>
      <c r="B1" s="657"/>
      <c r="C1" s="98" t="s">
        <v>47</v>
      </c>
      <c r="D1" s="98" t="s">
        <v>617</v>
      </c>
      <c r="E1" s="98" t="s">
        <v>618</v>
      </c>
      <c r="F1" s="98" t="s">
        <v>619</v>
      </c>
      <c r="G1" s="98" t="s">
        <v>620</v>
      </c>
      <c r="H1" s="98" t="s">
        <v>621</v>
      </c>
      <c r="I1" s="99" t="s">
        <v>622</v>
      </c>
      <c r="J1" s="98" t="s">
        <v>623</v>
      </c>
      <c r="K1" s="99" t="s">
        <v>624</v>
      </c>
      <c r="L1" s="98" t="s">
        <v>625</v>
      </c>
    </row>
    <row r="2" spans="1:12">
      <c r="A2" s="100"/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03"/>
    </row>
    <row r="3" spans="1:12" ht="57.75" customHeight="1">
      <c r="A3" s="104" t="s">
        <v>592</v>
      </c>
      <c r="B3" s="105"/>
      <c r="C3" s="106"/>
      <c r="D3" s="107"/>
      <c r="E3" s="107"/>
      <c r="F3" s="107"/>
      <c r="G3" s="107"/>
      <c r="H3" s="107"/>
      <c r="I3" s="108"/>
      <c r="J3" s="109"/>
      <c r="K3" s="110">
        <f>SUM(K4+K6)</f>
        <v>1402000</v>
      </c>
      <c r="L3" s="107"/>
    </row>
    <row r="4" spans="1:12" ht="30">
      <c r="A4" s="111" t="s">
        <v>626</v>
      </c>
      <c r="B4" s="112"/>
      <c r="C4" s="113"/>
      <c r="D4" s="114"/>
      <c r="E4" s="114"/>
      <c r="F4" s="114"/>
      <c r="G4" s="115"/>
      <c r="H4" s="114"/>
      <c r="I4" s="116"/>
      <c r="J4" s="114"/>
      <c r="K4" s="117">
        <f>SUM(J5:J5)</f>
        <v>1194000</v>
      </c>
      <c r="L4" s="114"/>
    </row>
    <row r="5" spans="1:12" ht="126" customHeight="1">
      <c r="A5" s="118" t="s">
        <v>627</v>
      </c>
      <c r="B5" s="119"/>
      <c r="C5" s="120" t="s">
        <v>628</v>
      </c>
      <c r="D5" s="121">
        <v>4316</v>
      </c>
      <c r="E5" s="121">
        <v>1</v>
      </c>
      <c r="F5" s="121">
        <v>12</v>
      </c>
      <c r="G5" s="122">
        <f>E5*F5</f>
        <v>12</v>
      </c>
      <c r="H5" s="121" t="s">
        <v>629</v>
      </c>
      <c r="I5" s="108">
        <v>99500</v>
      </c>
      <c r="J5" s="109">
        <f>I5*G5</f>
        <v>1194000</v>
      </c>
      <c r="K5" s="123"/>
      <c r="L5" s="121" t="s">
        <v>630</v>
      </c>
    </row>
    <row r="6" spans="1:12">
      <c r="A6" s="111" t="s">
        <v>631</v>
      </c>
      <c r="B6" s="112"/>
      <c r="C6" s="124"/>
      <c r="D6" s="114"/>
      <c r="E6" s="114"/>
      <c r="F6" s="114"/>
      <c r="G6" s="115"/>
      <c r="H6" s="114"/>
      <c r="I6" s="125"/>
      <c r="J6" s="114"/>
      <c r="K6" s="117">
        <f>SUM(J7:J8)</f>
        <v>208000</v>
      </c>
      <c r="L6" s="114"/>
    </row>
    <row r="7" spans="1:12" ht="30">
      <c r="A7" s="126" t="s">
        <v>632</v>
      </c>
      <c r="B7" s="127"/>
      <c r="C7" s="128"/>
      <c r="D7" s="121">
        <v>20656</v>
      </c>
      <c r="E7" s="121">
        <v>4</v>
      </c>
      <c r="F7" s="121">
        <v>1</v>
      </c>
      <c r="G7" s="122">
        <f>E7*F7</f>
        <v>4</v>
      </c>
      <c r="H7" s="121" t="s">
        <v>633</v>
      </c>
      <c r="I7" s="129">
        <v>40000</v>
      </c>
      <c r="J7" s="109">
        <f>I7*G7</f>
        <v>160000</v>
      </c>
      <c r="K7" s="658"/>
      <c r="L7" s="121" t="s">
        <v>630</v>
      </c>
    </row>
    <row r="8" spans="1:12" ht="30">
      <c r="A8" s="126" t="s">
        <v>634</v>
      </c>
      <c r="B8" s="127"/>
      <c r="C8" s="128"/>
      <c r="D8" s="121">
        <v>20656</v>
      </c>
      <c r="E8" s="121">
        <v>4</v>
      </c>
      <c r="F8" s="121">
        <v>1</v>
      </c>
      <c r="G8" s="122">
        <f>E8*F8</f>
        <v>4</v>
      </c>
      <c r="H8" s="121" t="s">
        <v>633</v>
      </c>
      <c r="I8" s="129">
        <v>12000</v>
      </c>
      <c r="J8" s="109">
        <f>I8*G8</f>
        <v>48000</v>
      </c>
      <c r="K8" s="659"/>
      <c r="L8" s="121" t="s">
        <v>630</v>
      </c>
    </row>
    <row r="9" spans="1:12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2"/>
      <c r="L9" s="133"/>
    </row>
    <row r="10" spans="1:12" ht="44.25" customHeight="1">
      <c r="A10" s="134" t="s">
        <v>635</v>
      </c>
      <c r="B10" s="135"/>
      <c r="C10" s="128"/>
      <c r="D10" s="121"/>
      <c r="E10" s="121"/>
      <c r="F10" s="121"/>
      <c r="G10" s="122"/>
      <c r="H10" s="121"/>
      <c r="I10" s="129"/>
      <c r="J10" s="121"/>
      <c r="K10" s="110">
        <f>SUM(K11+K68+K160)</f>
        <v>2078539.5</v>
      </c>
      <c r="L10" s="121"/>
    </row>
    <row r="11" spans="1:12" ht="42">
      <c r="A11" s="136" t="s">
        <v>593</v>
      </c>
      <c r="B11" s="137"/>
      <c r="C11" s="138"/>
      <c r="D11" s="139"/>
      <c r="E11" s="139"/>
      <c r="F11" s="139"/>
      <c r="G11" s="140"/>
      <c r="H11" s="139"/>
      <c r="I11" s="110"/>
      <c r="J11" s="139"/>
      <c r="K11" s="110">
        <f>SUM(K12+K16+K21+K41+K45+K53+K55+K64)</f>
        <v>335509</v>
      </c>
      <c r="L11" s="139"/>
    </row>
    <row r="12" spans="1:12">
      <c r="A12" s="111" t="s">
        <v>636</v>
      </c>
      <c r="B12" s="112"/>
      <c r="C12" s="124"/>
      <c r="D12" s="114"/>
      <c r="E12" s="114"/>
      <c r="F12" s="114"/>
      <c r="G12" s="115"/>
      <c r="H12" s="114"/>
      <c r="I12" s="125"/>
      <c r="J12" s="114"/>
      <c r="K12" s="117">
        <f>SUM(J13:J15)</f>
        <v>78300</v>
      </c>
      <c r="L12" s="114"/>
    </row>
    <row r="13" spans="1:12">
      <c r="A13" s="118" t="s">
        <v>637</v>
      </c>
      <c r="B13" s="119"/>
      <c r="C13" s="660" t="s">
        <v>638</v>
      </c>
      <c r="D13" s="121">
        <v>9946</v>
      </c>
      <c r="E13" s="121">
        <v>20</v>
      </c>
      <c r="F13" s="121">
        <v>3</v>
      </c>
      <c r="G13" s="122">
        <f>E13*F13</f>
        <v>60</v>
      </c>
      <c r="H13" s="121" t="s">
        <v>639</v>
      </c>
      <c r="I13" s="129">
        <v>260</v>
      </c>
      <c r="J13" s="109">
        <f>I13*G13</f>
        <v>15600</v>
      </c>
      <c r="K13" s="658"/>
      <c r="L13" s="121" t="s">
        <v>630</v>
      </c>
    </row>
    <row r="14" spans="1:12">
      <c r="A14" s="118" t="s">
        <v>640</v>
      </c>
      <c r="B14" s="119"/>
      <c r="C14" s="661"/>
      <c r="D14" s="121">
        <v>9946</v>
      </c>
      <c r="E14" s="121">
        <v>50</v>
      </c>
      <c r="F14" s="121">
        <v>3</v>
      </c>
      <c r="G14" s="122">
        <f>E14*F14</f>
        <v>150</v>
      </c>
      <c r="H14" s="121" t="s">
        <v>639</v>
      </c>
      <c r="I14" s="129">
        <v>340</v>
      </c>
      <c r="J14" s="109">
        <f>I14*G14</f>
        <v>51000</v>
      </c>
      <c r="K14" s="663"/>
      <c r="L14" s="121" t="s">
        <v>630</v>
      </c>
    </row>
    <row r="15" spans="1:12">
      <c r="A15" s="118" t="s">
        <v>641</v>
      </c>
      <c r="B15" s="119"/>
      <c r="C15" s="662"/>
      <c r="D15" s="121">
        <v>9946</v>
      </c>
      <c r="E15" s="121">
        <v>10</v>
      </c>
      <c r="F15" s="121">
        <v>3</v>
      </c>
      <c r="G15" s="122">
        <f>E15*F15</f>
        <v>30</v>
      </c>
      <c r="H15" s="121" t="s">
        <v>639</v>
      </c>
      <c r="I15" s="129">
        <v>390</v>
      </c>
      <c r="J15" s="109">
        <f>I15*G15</f>
        <v>11700</v>
      </c>
      <c r="K15" s="659"/>
      <c r="L15" s="121" t="s">
        <v>630</v>
      </c>
    </row>
    <row r="16" spans="1:12">
      <c r="A16" s="111" t="s">
        <v>642</v>
      </c>
      <c r="B16" s="112"/>
      <c r="C16" s="124"/>
      <c r="D16" s="114"/>
      <c r="E16" s="114"/>
      <c r="F16" s="114"/>
      <c r="G16" s="115"/>
      <c r="H16" s="114"/>
      <c r="I16" s="125"/>
      <c r="J16" s="114"/>
      <c r="K16" s="117">
        <f>SUM(J17:J20)</f>
        <v>30150</v>
      </c>
      <c r="L16" s="114"/>
    </row>
    <row r="17" spans="1:12" ht="135">
      <c r="A17" s="118" t="s">
        <v>643</v>
      </c>
      <c r="B17" s="119"/>
      <c r="C17" s="141" t="s">
        <v>644</v>
      </c>
      <c r="D17" s="121">
        <v>22721</v>
      </c>
      <c r="E17" s="121">
        <v>1</v>
      </c>
      <c r="F17" s="121">
        <v>4</v>
      </c>
      <c r="G17" s="122">
        <f>E17*F17</f>
        <v>4</v>
      </c>
      <c r="H17" s="121" t="s">
        <v>639</v>
      </c>
      <c r="I17" s="129">
        <v>6000</v>
      </c>
      <c r="J17" s="109">
        <f>I17*G17</f>
        <v>24000</v>
      </c>
      <c r="K17" s="658"/>
      <c r="L17" s="121" t="s">
        <v>630</v>
      </c>
    </row>
    <row r="18" spans="1:12" ht="108" customHeight="1">
      <c r="A18" s="118" t="s">
        <v>645</v>
      </c>
      <c r="B18" s="119"/>
      <c r="C18" s="141" t="s">
        <v>646</v>
      </c>
      <c r="D18" s="121">
        <v>22721</v>
      </c>
      <c r="E18" s="121">
        <v>1</v>
      </c>
      <c r="F18" s="121">
        <v>3</v>
      </c>
      <c r="G18" s="122">
        <f>E18*F18</f>
        <v>3</v>
      </c>
      <c r="H18" s="121" t="s">
        <v>639</v>
      </c>
      <c r="I18" s="129">
        <v>650</v>
      </c>
      <c r="J18" s="109">
        <f>I18*G18</f>
        <v>1950</v>
      </c>
      <c r="K18" s="663"/>
      <c r="L18" s="121" t="s">
        <v>630</v>
      </c>
    </row>
    <row r="19" spans="1:12" ht="122.25" customHeight="1">
      <c r="A19" s="118" t="s">
        <v>647</v>
      </c>
      <c r="B19" s="119"/>
      <c r="C19" s="141" t="s">
        <v>648</v>
      </c>
      <c r="D19" s="121">
        <v>22721</v>
      </c>
      <c r="E19" s="121">
        <v>1</v>
      </c>
      <c r="F19" s="121">
        <v>5</v>
      </c>
      <c r="G19" s="122">
        <f>E19*F19</f>
        <v>5</v>
      </c>
      <c r="H19" s="121" t="s">
        <v>639</v>
      </c>
      <c r="I19" s="129">
        <v>600</v>
      </c>
      <c r="J19" s="109">
        <f>I19*G19</f>
        <v>3000</v>
      </c>
      <c r="K19" s="663"/>
      <c r="L19" s="121" t="s">
        <v>630</v>
      </c>
    </row>
    <row r="20" spans="1:12" ht="120">
      <c r="A20" s="118" t="s">
        <v>649</v>
      </c>
      <c r="B20" s="119"/>
      <c r="C20" s="141" t="s">
        <v>650</v>
      </c>
      <c r="D20" s="121">
        <v>22721</v>
      </c>
      <c r="E20" s="121">
        <v>1</v>
      </c>
      <c r="F20" s="121">
        <v>1</v>
      </c>
      <c r="G20" s="122">
        <f>E20*F20</f>
        <v>1</v>
      </c>
      <c r="H20" s="121" t="s">
        <v>639</v>
      </c>
      <c r="I20" s="129">
        <v>1200</v>
      </c>
      <c r="J20" s="109">
        <f>I20*G20</f>
        <v>1200</v>
      </c>
      <c r="K20" s="659"/>
      <c r="L20" s="121" t="s">
        <v>630</v>
      </c>
    </row>
    <row r="21" spans="1:12">
      <c r="A21" s="142" t="s">
        <v>651</v>
      </c>
      <c r="B21" s="143"/>
      <c r="C21" s="124"/>
      <c r="D21" s="114"/>
      <c r="E21" s="114"/>
      <c r="F21" s="114"/>
      <c r="G21" s="115"/>
      <c r="H21" s="114"/>
      <c r="I21" s="125"/>
      <c r="J21" s="114"/>
      <c r="K21" s="117">
        <f>SUM(J22:J40)</f>
        <v>34029</v>
      </c>
      <c r="L21" s="114"/>
    </row>
    <row r="22" spans="1:12" ht="103.5" customHeight="1">
      <c r="A22" s="118" t="s">
        <v>652</v>
      </c>
      <c r="B22" s="664" t="s">
        <v>643</v>
      </c>
      <c r="C22" s="141" t="s">
        <v>653</v>
      </c>
      <c r="D22" s="121">
        <v>14591</v>
      </c>
      <c r="E22" s="121">
        <v>4</v>
      </c>
      <c r="F22" s="121">
        <v>3</v>
      </c>
      <c r="G22" s="122">
        <f>E22*F22</f>
        <v>12</v>
      </c>
      <c r="H22" s="121" t="s">
        <v>639</v>
      </c>
      <c r="I22" s="129">
        <v>62</v>
      </c>
      <c r="J22" s="109">
        <f t="shared" ref="J22:J39" si="0">I22*G22</f>
        <v>744</v>
      </c>
      <c r="K22" s="658"/>
      <c r="L22" s="121" t="s">
        <v>630</v>
      </c>
    </row>
    <row r="23" spans="1:12" ht="74.25" customHeight="1">
      <c r="A23" s="118" t="s">
        <v>654</v>
      </c>
      <c r="B23" s="665"/>
      <c r="C23" s="141" t="s">
        <v>655</v>
      </c>
      <c r="D23" s="121">
        <v>14591</v>
      </c>
      <c r="E23" s="121">
        <v>4</v>
      </c>
      <c r="F23" s="121">
        <v>3</v>
      </c>
      <c r="G23" s="122">
        <f t="shared" ref="G23:G40" si="1">E23*F23</f>
        <v>12</v>
      </c>
      <c r="H23" s="121" t="s">
        <v>639</v>
      </c>
      <c r="I23" s="129">
        <v>41</v>
      </c>
      <c r="J23" s="109">
        <f t="shared" si="0"/>
        <v>492</v>
      </c>
      <c r="K23" s="663"/>
      <c r="L23" s="121" t="s">
        <v>630</v>
      </c>
    </row>
    <row r="24" spans="1:12" ht="45.75" customHeight="1">
      <c r="A24" s="118" t="s">
        <v>656</v>
      </c>
      <c r="B24" s="665"/>
      <c r="C24" s="141" t="s">
        <v>657</v>
      </c>
      <c r="D24" s="121">
        <v>22888</v>
      </c>
      <c r="E24" s="121">
        <v>1</v>
      </c>
      <c r="F24" s="121">
        <v>3</v>
      </c>
      <c r="G24" s="122">
        <f t="shared" si="1"/>
        <v>3</v>
      </c>
      <c r="H24" s="121" t="s">
        <v>639</v>
      </c>
      <c r="I24" s="129">
        <v>140</v>
      </c>
      <c r="J24" s="109">
        <f t="shared" si="0"/>
        <v>420</v>
      </c>
      <c r="K24" s="663"/>
      <c r="L24" s="121" t="s">
        <v>630</v>
      </c>
    </row>
    <row r="25" spans="1:12" ht="30">
      <c r="A25" s="118" t="s">
        <v>658</v>
      </c>
      <c r="B25" s="665"/>
      <c r="C25" s="141" t="s">
        <v>659</v>
      </c>
      <c r="D25" s="121">
        <v>13757</v>
      </c>
      <c r="E25" s="121">
        <v>2</v>
      </c>
      <c r="F25" s="121">
        <v>3</v>
      </c>
      <c r="G25" s="122">
        <f t="shared" si="1"/>
        <v>6</v>
      </c>
      <c r="H25" s="121" t="s">
        <v>639</v>
      </c>
      <c r="I25" s="129">
        <v>150</v>
      </c>
      <c r="J25" s="109">
        <f t="shared" si="0"/>
        <v>900</v>
      </c>
      <c r="K25" s="663"/>
      <c r="L25" s="121" t="s">
        <v>630</v>
      </c>
    </row>
    <row r="26" spans="1:12">
      <c r="A26" s="118" t="s">
        <v>660</v>
      </c>
      <c r="B26" s="665"/>
      <c r="C26" s="141"/>
      <c r="D26" s="121">
        <v>20656</v>
      </c>
      <c r="E26" s="121">
        <v>2</v>
      </c>
      <c r="F26" s="121">
        <v>3</v>
      </c>
      <c r="G26" s="122">
        <f t="shared" si="1"/>
        <v>6</v>
      </c>
      <c r="H26" s="121" t="s">
        <v>639</v>
      </c>
      <c r="I26" s="129">
        <v>160</v>
      </c>
      <c r="J26" s="109">
        <f t="shared" si="0"/>
        <v>960</v>
      </c>
      <c r="K26" s="663"/>
      <c r="L26" s="121" t="s">
        <v>630</v>
      </c>
    </row>
    <row r="27" spans="1:12" ht="30">
      <c r="A27" s="118" t="s">
        <v>661</v>
      </c>
      <c r="B27" s="665"/>
      <c r="C27" s="141"/>
      <c r="D27" s="121">
        <v>12556</v>
      </c>
      <c r="E27" s="121">
        <v>2</v>
      </c>
      <c r="F27" s="121">
        <v>3</v>
      </c>
      <c r="G27" s="122">
        <f t="shared" si="1"/>
        <v>6</v>
      </c>
      <c r="H27" s="121" t="s">
        <v>639</v>
      </c>
      <c r="I27" s="129">
        <v>30</v>
      </c>
      <c r="J27" s="109">
        <f t="shared" si="0"/>
        <v>180</v>
      </c>
      <c r="K27" s="663"/>
      <c r="L27" s="121" t="s">
        <v>630</v>
      </c>
    </row>
    <row r="28" spans="1:12">
      <c r="A28" s="144" t="s">
        <v>662</v>
      </c>
      <c r="B28" s="665"/>
      <c r="C28" s="141"/>
      <c r="D28" s="145">
        <v>12556</v>
      </c>
      <c r="E28" s="146">
        <v>2</v>
      </c>
      <c r="F28" s="146">
        <v>3</v>
      </c>
      <c r="G28" s="147">
        <f t="shared" si="1"/>
        <v>6</v>
      </c>
      <c r="H28" s="146" t="s">
        <v>639</v>
      </c>
      <c r="I28" s="148">
        <v>150</v>
      </c>
      <c r="J28" s="149">
        <f t="shared" si="0"/>
        <v>900</v>
      </c>
      <c r="K28" s="663"/>
      <c r="L28" s="121" t="s">
        <v>630</v>
      </c>
    </row>
    <row r="29" spans="1:12" ht="30">
      <c r="A29" s="150" t="s">
        <v>663</v>
      </c>
      <c r="B29" s="665"/>
      <c r="C29" s="141"/>
      <c r="D29" s="121">
        <v>22888</v>
      </c>
      <c r="E29" s="121">
        <v>50</v>
      </c>
      <c r="F29" s="121">
        <v>3</v>
      </c>
      <c r="G29" s="122">
        <f t="shared" si="1"/>
        <v>150</v>
      </c>
      <c r="H29" s="146" t="s">
        <v>639</v>
      </c>
      <c r="I29" s="129">
        <v>35</v>
      </c>
      <c r="J29" s="109">
        <f t="shared" si="0"/>
        <v>5250</v>
      </c>
      <c r="K29" s="663"/>
      <c r="L29" s="121" t="s">
        <v>630</v>
      </c>
    </row>
    <row r="30" spans="1:12" ht="45">
      <c r="A30" s="150" t="s">
        <v>664</v>
      </c>
      <c r="B30" s="665"/>
      <c r="C30" s="141"/>
      <c r="D30" s="121">
        <v>22888</v>
      </c>
      <c r="E30" s="151">
        <v>150</v>
      </c>
      <c r="F30" s="151">
        <v>3</v>
      </c>
      <c r="G30" s="122">
        <f t="shared" si="1"/>
        <v>450</v>
      </c>
      <c r="H30" s="121" t="s">
        <v>639</v>
      </c>
      <c r="I30" s="129">
        <v>17.5</v>
      </c>
      <c r="J30" s="109">
        <f t="shared" si="0"/>
        <v>7875</v>
      </c>
      <c r="K30" s="663"/>
      <c r="L30" s="121" t="s">
        <v>630</v>
      </c>
    </row>
    <row r="31" spans="1:12" ht="105">
      <c r="A31" s="152" t="s">
        <v>665</v>
      </c>
      <c r="B31" s="665"/>
      <c r="C31" s="141" t="s">
        <v>666</v>
      </c>
      <c r="D31" s="153">
        <v>25062</v>
      </c>
      <c r="E31" s="151">
        <v>1</v>
      </c>
      <c r="F31" s="151">
        <v>3</v>
      </c>
      <c r="G31" s="154">
        <f t="shared" si="1"/>
        <v>3</v>
      </c>
      <c r="H31" s="151" t="s">
        <v>639</v>
      </c>
      <c r="I31" s="155">
        <v>650</v>
      </c>
      <c r="J31" s="156">
        <f>I31*G31</f>
        <v>1950</v>
      </c>
      <c r="K31" s="663"/>
      <c r="L31" s="121" t="s">
        <v>630</v>
      </c>
    </row>
    <row r="32" spans="1:12" ht="285">
      <c r="A32" s="118" t="s">
        <v>667</v>
      </c>
      <c r="B32" s="666"/>
      <c r="C32" s="141" t="s">
        <v>668</v>
      </c>
      <c r="D32" s="121">
        <v>12556</v>
      </c>
      <c r="E32" s="121">
        <v>1</v>
      </c>
      <c r="F32" s="121">
        <v>3</v>
      </c>
      <c r="G32" s="122">
        <f t="shared" si="1"/>
        <v>3</v>
      </c>
      <c r="H32" s="121" t="s">
        <v>639</v>
      </c>
      <c r="I32" s="129">
        <v>1200</v>
      </c>
      <c r="J32" s="109">
        <f t="shared" si="0"/>
        <v>3600</v>
      </c>
      <c r="K32" s="663"/>
      <c r="L32" s="121" t="s">
        <v>630</v>
      </c>
    </row>
    <row r="33" spans="1:12">
      <c r="A33" s="118" t="s">
        <v>669</v>
      </c>
      <c r="B33" s="667" t="s">
        <v>670</v>
      </c>
      <c r="C33" s="141"/>
      <c r="D33" s="121">
        <v>12556</v>
      </c>
      <c r="E33" s="121">
        <v>1</v>
      </c>
      <c r="F33" s="121">
        <v>3</v>
      </c>
      <c r="G33" s="122">
        <f t="shared" si="1"/>
        <v>3</v>
      </c>
      <c r="H33" s="121" t="s">
        <v>639</v>
      </c>
      <c r="I33" s="129">
        <v>150</v>
      </c>
      <c r="J33" s="109">
        <f t="shared" si="0"/>
        <v>450</v>
      </c>
      <c r="K33" s="663"/>
      <c r="L33" s="121" t="s">
        <v>630</v>
      </c>
    </row>
    <row r="34" spans="1:12" ht="45">
      <c r="A34" s="118" t="s">
        <v>671</v>
      </c>
      <c r="B34" s="667"/>
      <c r="C34" s="141" t="s">
        <v>672</v>
      </c>
      <c r="D34" s="121">
        <v>12556</v>
      </c>
      <c r="E34" s="121">
        <v>1</v>
      </c>
      <c r="F34" s="121">
        <v>3</v>
      </c>
      <c r="G34" s="122">
        <f t="shared" si="1"/>
        <v>3</v>
      </c>
      <c r="H34" s="121" t="s">
        <v>639</v>
      </c>
      <c r="I34" s="129">
        <v>268</v>
      </c>
      <c r="J34" s="109">
        <f t="shared" si="0"/>
        <v>804</v>
      </c>
      <c r="K34" s="663"/>
      <c r="L34" s="121" t="s">
        <v>630</v>
      </c>
    </row>
    <row r="35" spans="1:12">
      <c r="A35" s="118" t="s">
        <v>669</v>
      </c>
      <c r="B35" s="667" t="s">
        <v>647</v>
      </c>
      <c r="C35" s="128"/>
      <c r="D35" s="121">
        <v>12556</v>
      </c>
      <c r="E35" s="121">
        <v>2</v>
      </c>
      <c r="F35" s="121">
        <v>3</v>
      </c>
      <c r="G35" s="122">
        <f t="shared" si="1"/>
        <v>6</v>
      </c>
      <c r="H35" s="121" t="s">
        <v>639</v>
      </c>
      <c r="I35" s="129">
        <v>150</v>
      </c>
      <c r="J35" s="109">
        <f t="shared" si="0"/>
        <v>900</v>
      </c>
      <c r="K35" s="663"/>
      <c r="L35" s="121" t="s">
        <v>630</v>
      </c>
    </row>
    <row r="36" spans="1:12" ht="45">
      <c r="A36" s="118" t="s">
        <v>671</v>
      </c>
      <c r="B36" s="667"/>
      <c r="C36" s="141" t="s">
        <v>672</v>
      </c>
      <c r="D36" s="121">
        <v>12556</v>
      </c>
      <c r="E36" s="121">
        <v>1</v>
      </c>
      <c r="F36" s="121">
        <v>3</v>
      </c>
      <c r="G36" s="122">
        <f t="shared" si="1"/>
        <v>3</v>
      </c>
      <c r="H36" s="121" t="s">
        <v>639</v>
      </c>
      <c r="I36" s="129">
        <v>268</v>
      </c>
      <c r="J36" s="109">
        <f t="shared" si="0"/>
        <v>804</v>
      </c>
      <c r="K36" s="663"/>
      <c r="L36" s="121" t="s">
        <v>630</v>
      </c>
    </row>
    <row r="37" spans="1:12">
      <c r="A37" s="668" t="s">
        <v>673</v>
      </c>
      <c r="B37" s="669"/>
      <c r="C37" s="128" t="s">
        <v>674</v>
      </c>
      <c r="D37" s="121">
        <v>17019</v>
      </c>
      <c r="E37" s="121">
        <v>1</v>
      </c>
      <c r="F37" s="121">
        <v>3</v>
      </c>
      <c r="G37" s="122">
        <f t="shared" si="1"/>
        <v>3</v>
      </c>
      <c r="H37" s="121" t="s">
        <v>639</v>
      </c>
      <c r="I37" s="129">
        <v>180</v>
      </c>
      <c r="J37" s="109">
        <f t="shared" si="0"/>
        <v>540</v>
      </c>
      <c r="K37" s="663"/>
      <c r="L37" s="121" t="s">
        <v>630</v>
      </c>
    </row>
    <row r="38" spans="1:12">
      <c r="A38" s="668" t="s">
        <v>675</v>
      </c>
      <c r="B38" s="675"/>
      <c r="C38" s="128" t="s">
        <v>676</v>
      </c>
      <c r="D38" s="121">
        <v>17019</v>
      </c>
      <c r="E38" s="121">
        <v>2</v>
      </c>
      <c r="F38" s="121">
        <v>3</v>
      </c>
      <c r="G38" s="122">
        <f t="shared" si="1"/>
        <v>6</v>
      </c>
      <c r="H38" s="121" t="s">
        <v>639</v>
      </c>
      <c r="I38" s="129">
        <v>190</v>
      </c>
      <c r="J38" s="109">
        <f t="shared" si="0"/>
        <v>1140</v>
      </c>
      <c r="K38" s="663"/>
      <c r="L38" s="121" t="s">
        <v>630</v>
      </c>
    </row>
    <row r="39" spans="1:12">
      <c r="A39" s="668" t="s">
        <v>677</v>
      </c>
      <c r="B39" s="675"/>
      <c r="C39" s="128" t="s">
        <v>678</v>
      </c>
      <c r="D39" s="121">
        <v>17019</v>
      </c>
      <c r="E39" s="121">
        <v>4</v>
      </c>
      <c r="F39" s="121">
        <v>3</v>
      </c>
      <c r="G39" s="122">
        <f t="shared" si="1"/>
        <v>12</v>
      </c>
      <c r="H39" s="121" t="s">
        <v>639</v>
      </c>
      <c r="I39" s="129">
        <v>160</v>
      </c>
      <c r="J39" s="109">
        <f t="shared" si="0"/>
        <v>1920</v>
      </c>
      <c r="K39" s="663"/>
      <c r="L39" s="121" t="s">
        <v>630</v>
      </c>
    </row>
    <row r="40" spans="1:12" ht="45">
      <c r="A40" s="668" t="s">
        <v>679</v>
      </c>
      <c r="B40" s="675"/>
      <c r="C40" s="141" t="s">
        <v>680</v>
      </c>
      <c r="D40" s="121">
        <v>26344</v>
      </c>
      <c r="E40" s="121">
        <v>1</v>
      </c>
      <c r="F40" s="121">
        <v>3</v>
      </c>
      <c r="G40" s="122">
        <f t="shared" si="1"/>
        <v>3</v>
      </c>
      <c r="H40" s="121" t="s">
        <v>639</v>
      </c>
      <c r="I40" s="129">
        <v>1400</v>
      </c>
      <c r="J40" s="109">
        <f>I40*F40</f>
        <v>4200</v>
      </c>
      <c r="K40" s="659"/>
      <c r="L40" s="121" t="s">
        <v>630</v>
      </c>
    </row>
    <row r="41" spans="1:12">
      <c r="A41" s="676" t="s">
        <v>681</v>
      </c>
      <c r="B41" s="677"/>
      <c r="C41" s="113"/>
      <c r="D41" s="114"/>
      <c r="E41" s="114"/>
      <c r="F41" s="114"/>
      <c r="G41" s="115"/>
      <c r="H41" s="114"/>
      <c r="I41" s="125"/>
      <c r="J41" s="157"/>
      <c r="K41" s="117">
        <f>SUM(J42:J44)</f>
        <v>8100</v>
      </c>
      <c r="L41" s="114"/>
    </row>
    <row r="42" spans="1:12">
      <c r="A42" s="678" t="s">
        <v>682</v>
      </c>
      <c r="B42" s="679"/>
      <c r="C42" s="141"/>
      <c r="D42" s="121">
        <v>14591</v>
      </c>
      <c r="E42" s="146">
        <v>3</v>
      </c>
      <c r="F42" s="121">
        <v>3</v>
      </c>
      <c r="G42" s="122">
        <f>E42*F42</f>
        <v>9</v>
      </c>
      <c r="H42" s="121" t="s">
        <v>639</v>
      </c>
      <c r="I42" s="129">
        <v>220</v>
      </c>
      <c r="J42" s="109">
        <f>I42*G42</f>
        <v>1980</v>
      </c>
      <c r="K42" s="658"/>
      <c r="L42" s="121" t="s">
        <v>630</v>
      </c>
    </row>
    <row r="43" spans="1:12">
      <c r="A43" s="678" t="s">
        <v>683</v>
      </c>
      <c r="B43" s="679"/>
      <c r="C43" s="141"/>
      <c r="D43" s="121">
        <v>25631</v>
      </c>
      <c r="E43" s="146">
        <v>3</v>
      </c>
      <c r="F43" s="121">
        <v>3</v>
      </c>
      <c r="G43" s="122">
        <f t="shared" ref="G43:G51" si="2">E43*F43</f>
        <v>9</v>
      </c>
      <c r="H43" s="121" t="s">
        <v>639</v>
      </c>
      <c r="I43" s="129">
        <v>180</v>
      </c>
      <c r="J43" s="109">
        <f>I43*G43</f>
        <v>1620</v>
      </c>
      <c r="K43" s="663"/>
      <c r="L43" s="121" t="s">
        <v>630</v>
      </c>
    </row>
    <row r="44" spans="1:12">
      <c r="A44" s="678" t="s">
        <v>684</v>
      </c>
      <c r="B44" s="679"/>
      <c r="C44" s="141"/>
      <c r="D44" s="121">
        <v>14591</v>
      </c>
      <c r="E44" s="146">
        <v>6</v>
      </c>
      <c r="F44" s="121">
        <v>3</v>
      </c>
      <c r="G44" s="122">
        <f t="shared" si="2"/>
        <v>18</v>
      </c>
      <c r="H44" s="121" t="s">
        <v>639</v>
      </c>
      <c r="I44" s="129">
        <v>250</v>
      </c>
      <c r="J44" s="109">
        <f>I44*G44</f>
        <v>4500</v>
      </c>
      <c r="K44" s="659"/>
      <c r="L44" s="121" t="s">
        <v>630</v>
      </c>
    </row>
    <row r="45" spans="1:12">
      <c r="A45" s="158" t="s">
        <v>685</v>
      </c>
      <c r="B45" s="159"/>
      <c r="C45" s="113"/>
      <c r="D45" s="114"/>
      <c r="E45" s="114"/>
      <c r="F45" s="114"/>
      <c r="G45" s="115">
        <f t="shared" si="2"/>
        <v>0</v>
      </c>
      <c r="H45" s="114"/>
      <c r="I45" s="125"/>
      <c r="J45" s="157"/>
      <c r="K45" s="117">
        <f>SUM(J46:J52)</f>
        <v>113070</v>
      </c>
      <c r="L45" s="114"/>
    </row>
    <row r="46" spans="1:12" ht="30">
      <c r="A46" s="160" t="s">
        <v>686</v>
      </c>
      <c r="B46" s="161"/>
      <c r="C46" s="162" t="s">
        <v>687</v>
      </c>
      <c r="D46" s="121">
        <v>3697</v>
      </c>
      <c r="E46" s="121">
        <v>150</v>
      </c>
      <c r="F46" s="121">
        <v>3</v>
      </c>
      <c r="G46" s="122">
        <f t="shared" si="2"/>
        <v>450</v>
      </c>
      <c r="H46" s="121" t="s">
        <v>639</v>
      </c>
      <c r="I46" s="129">
        <v>65</v>
      </c>
      <c r="J46" s="109">
        <f>I46*G46</f>
        <v>29250</v>
      </c>
      <c r="K46" s="670"/>
      <c r="L46" s="121" t="s">
        <v>630</v>
      </c>
    </row>
    <row r="47" spans="1:12" ht="60">
      <c r="A47" s="163" t="s">
        <v>688</v>
      </c>
      <c r="B47" s="161"/>
      <c r="C47" s="141" t="s">
        <v>689</v>
      </c>
      <c r="D47" s="121">
        <v>3697</v>
      </c>
      <c r="E47" s="121">
        <v>150</v>
      </c>
      <c r="F47" s="121">
        <v>2</v>
      </c>
      <c r="G47" s="122">
        <f t="shared" si="2"/>
        <v>300</v>
      </c>
      <c r="H47" s="121" t="s">
        <v>639</v>
      </c>
      <c r="I47" s="129">
        <v>75</v>
      </c>
      <c r="J47" s="109">
        <f>I47*G47</f>
        <v>22500</v>
      </c>
      <c r="K47" s="671"/>
      <c r="L47" s="121" t="s">
        <v>630</v>
      </c>
    </row>
    <row r="48" spans="1:12" ht="135">
      <c r="A48" s="164" t="s">
        <v>690</v>
      </c>
      <c r="B48" s="165"/>
      <c r="C48" s="141" t="s">
        <v>691</v>
      </c>
      <c r="D48" s="121">
        <v>3697</v>
      </c>
      <c r="E48" s="121">
        <v>300</v>
      </c>
      <c r="F48" s="121">
        <v>3</v>
      </c>
      <c r="G48" s="122">
        <f t="shared" si="2"/>
        <v>900</v>
      </c>
      <c r="H48" s="121" t="s">
        <v>692</v>
      </c>
      <c r="I48" s="129">
        <v>34</v>
      </c>
      <c r="J48" s="109">
        <f t="shared" ref="J48:J52" si="3">I48*G48</f>
        <v>30600</v>
      </c>
      <c r="K48" s="671"/>
      <c r="L48" s="121" t="s">
        <v>630</v>
      </c>
    </row>
    <row r="49" spans="1:12" ht="30">
      <c r="A49" s="164" t="s">
        <v>693</v>
      </c>
      <c r="B49" s="166"/>
      <c r="C49" s="141" t="s">
        <v>694</v>
      </c>
      <c r="D49" s="121">
        <v>3697</v>
      </c>
      <c r="E49" s="121">
        <v>150</v>
      </c>
      <c r="F49" s="121">
        <v>1</v>
      </c>
      <c r="G49" s="122">
        <f t="shared" si="2"/>
        <v>150</v>
      </c>
      <c r="H49" s="121" t="s">
        <v>692</v>
      </c>
      <c r="I49" s="129">
        <v>45</v>
      </c>
      <c r="J49" s="109">
        <f t="shared" si="3"/>
        <v>6750</v>
      </c>
      <c r="K49" s="671"/>
      <c r="L49" s="121" t="s">
        <v>630</v>
      </c>
    </row>
    <row r="50" spans="1:12" ht="45">
      <c r="A50" s="164" t="s">
        <v>695</v>
      </c>
      <c r="B50" s="167"/>
      <c r="C50" s="141" t="s">
        <v>696</v>
      </c>
      <c r="D50" s="121">
        <v>3697</v>
      </c>
      <c r="E50" s="121">
        <v>150</v>
      </c>
      <c r="F50" s="121">
        <v>3</v>
      </c>
      <c r="G50" s="122">
        <f t="shared" si="2"/>
        <v>450</v>
      </c>
      <c r="H50" s="121" t="s">
        <v>692</v>
      </c>
      <c r="I50" s="129">
        <v>22</v>
      </c>
      <c r="J50" s="109">
        <f t="shared" si="3"/>
        <v>9900</v>
      </c>
      <c r="K50" s="671"/>
      <c r="L50" s="121" t="s">
        <v>630</v>
      </c>
    </row>
    <row r="51" spans="1:12" ht="120">
      <c r="A51" s="164" t="s">
        <v>695</v>
      </c>
      <c r="B51" s="167"/>
      <c r="C51" s="141" t="s">
        <v>697</v>
      </c>
      <c r="D51" s="121">
        <v>3697</v>
      </c>
      <c r="E51" s="121">
        <v>20</v>
      </c>
      <c r="F51" s="121">
        <v>3</v>
      </c>
      <c r="G51" s="122">
        <f t="shared" si="2"/>
        <v>60</v>
      </c>
      <c r="H51" s="121" t="s">
        <v>692</v>
      </c>
      <c r="I51" s="129">
        <v>22</v>
      </c>
      <c r="J51" s="109">
        <f t="shared" si="3"/>
        <v>1320</v>
      </c>
      <c r="K51" s="671"/>
      <c r="L51" s="121"/>
    </row>
    <row r="52" spans="1:12" ht="105">
      <c r="A52" s="164" t="s">
        <v>698</v>
      </c>
      <c r="B52" s="165"/>
      <c r="C52" s="141" t="s">
        <v>699</v>
      </c>
      <c r="D52" s="121">
        <v>3697</v>
      </c>
      <c r="E52" s="121">
        <v>150</v>
      </c>
      <c r="F52" s="121">
        <v>1</v>
      </c>
      <c r="G52" s="122">
        <f>E52*F52</f>
        <v>150</v>
      </c>
      <c r="H52" s="121" t="s">
        <v>692</v>
      </c>
      <c r="I52" s="129">
        <v>85</v>
      </c>
      <c r="J52" s="109">
        <f t="shared" si="3"/>
        <v>12750</v>
      </c>
      <c r="K52" s="672"/>
      <c r="L52" s="121" t="s">
        <v>630</v>
      </c>
    </row>
    <row r="53" spans="1:12">
      <c r="A53" s="168" t="s">
        <v>631</v>
      </c>
      <c r="B53" s="169"/>
      <c r="C53" s="124"/>
      <c r="D53" s="114"/>
      <c r="E53" s="114"/>
      <c r="F53" s="114"/>
      <c r="G53" s="115"/>
      <c r="H53" s="114"/>
      <c r="I53" s="125"/>
      <c r="J53" s="157"/>
      <c r="K53" s="117">
        <f>SUM(J54:J54)</f>
        <v>48000</v>
      </c>
      <c r="L53" s="114"/>
    </row>
    <row r="54" spans="1:12" ht="30">
      <c r="A54" s="126" t="s">
        <v>700</v>
      </c>
      <c r="B54" s="127"/>
      <c r="C54" s="128"/>
      <c r="D54" s="121">
        <v>20656</v>
      </c>
      <c r="E54" s="121">
        <v>3</v>
      </c>
      <c r="F54" s="121">
        <v>1</v>
      </c>
      <c r="G54" s="122">
        <f>E54*F54</f>
        <v>3</v>
      </c>
      <c r="H54" s="121" t="s">
        <v>633</v>
      </c>
      <c r="I54" s="129">
        <v>16000</v>
      </c>
      <c r="J54" s="109">
        <f>I54*G54</f>
        <v>48000</v>
      </c>
      <c r="K54" s="123"/>
      <c r="L54" s="121" t="s">
        <v>630</v>
      </c>
    </row>
    <row r="55" spans="1:12" ht="30">
      <c r="A55" s="111" t="s">
        <v>701</v>
      </c>
      <c r="B55" s="112"/>
      <c r="C55" s="113"/>
      <c r="D55" s="114"/>
      <c r="E55" s="114"/>
      <c r="F55" s="114"/>
      <c r="G55" s="115"/>
      <c r="H55" s="114"/>
      <c r="I55" s="125"/>
      <c r="J55" s="157"/>
      <c r="K55" s="117">
        <f>SUM(J57:J63)</f>
        <v>10820</v>
      </c>
      <c r="L55" s="114"/>
    </row>
    <row r="56" spans="1:12">
      <c r="A56" s="673" t="s">
        <v>702</v>
      </c>
      <c r="B56" s="674"/>
      <c r="C56" s="128"/>
      <c r="D56" s="123" t="s">
        <v>703</v>
      </c>
      <c r="E56" s="121"/>
      <c r="F56" s="121"/>
      <c r="G56" s="122"/>
      <c r="H56" s="121"/>
      <c r="I56" s="129"/>
      <c r="J56" s="109"/>
      <c r="K56" s="670"/>
      <c r="L56" s="121"/>
    </row>
    <row r="57" spans="1:12" ht="45">
      <c r="A57" s="118" t="s">
        <v>704</v>
      </c>
      <c r="B57" s="119"/>
      <c r="C57" s="141" t="s">
        <v>705</v>
      </c>
      <c r="D57" s="121">
        <v>3948</v>
      </c>
      <c r="E57" s="121">
        <v>150</v>
      </c>
      <c r="F57" s="121">
        <v>1</v>
      </c>
      <c r="G57" s="122">
        <f>E57*F57</f>
        <v>150</v>
      </c>
      <c r="H57" s="121" t="s">
        <v>706</v>
      </c>
      <c r="I57" s="129">
        <v>30</v>
      </c>
      <c r="J57" s="109">
        <f t="shared" ref="J57:J63" si="4">I57*G57</f>
        <v>4500</v>
      </c>
      <c r="K57" s="671"/>
      <c r="L57" s="121" t="s">
        <v>630</v>
      </c>
    </row>
    <row r="58" spans="1:12" ht="90">
      <c r="A58" s="118" t="s">
        <v>707</v>
      </c>
      <c r="B58" s="119"/>
      <c r="C58" s="141" t="s">
        <v>708</v>
      </c>
      <c r="D58" s="121">
        <v>19313</v>
      </c>
      <c r="E58" s="121">
        <v>1</v>
      </c>
      <c r="F58" s="121">
        <v>1</v>
      </c>
      <c r="G58" s="122">
        <f t="shared" ref="G58:G66" si="5">E58*F58</f>
        <v>1</v>
      </c>
      <c r="H58" s="121" t="s">
        <v>709</v>
      </c>
      <c r="I58" s="129">
        <v>2540</v>
      </c>
      <c r="J58" s="109">
        <f t="shared" si="4"/>
        <v>2540</v>
      </c>
      <c r="K58" s="671"/>
      <c r="L58" s="121" t="s">
        <v>630</v>
      </c>
    </row>
    <row r="59" spans="1:12" ht="165">
      <c r="A59" s="118" t="s">
        <v>710</v>
      </c>
      <c r="B59" s="119"/>
      <c r="C59" s="141" t="s">
        <v>711</v>
      </c>
      <c r="D59" s="121">
        <v>19313</v>
      </c>
      <c r="E59" s="121">
        <v>3</v>
      </c>
      <c r="F59" s="121">
        <v>1</v>
      </c>
      <c r="G59" s="122">
        <f t="shared" si="5"/>
        <v>3</v>
      </c>
      <c r="H59" s="121" t="s">
        <v>706</v>
      </c>
      <c r="I59" s="170">
        <v>160</v>
      </c>
      <c r="J59" s="109">
        <f t="shared" si="4"/>
        <v>480</v>
      </c>
      <c r="K59" s="671"/>
      <c r="L59" s="121" t="s">
        <v>630</v>
      </c>
    </row>
    <row r="60" spans="1:12" ht="105">
      <c r="A60" s="118" t="s">
        <v>712</v>
      </c>
      <c r="B60" s="119"/>
      <c r="C60" s="141" t="s">
        <v>713</v>
      </c>
      <c r="D60" s="121">
        <v>150788</v>
      </c>
      <c r="E60" s="121">
        <v>150</v>
      </c>
      <c r="F60" s="121">
        <v>1</v>
      </c>
      <c r="G60" s="122">
        <f t="shared" si="5"/>
        <v>150</v>
      </c>
      <c r="H60" s="121" t="s">
        <v>706</v>
      </c>
      <c r="I60" s="129">
        <v>5</v>
      </c>
      <c r="J60" s="109">
        <f t="shared" si="4"/>
        <v>750</v>
      </c>
      <c r="K60" s="671"/>
      <c r="L60" s="121" t="s">
        <v>630</v>
      </c>
    </row>
    <row r="61" spans="1:12" ht="60">
      <c r="A61" s="118" t="s">
        <v>714</v>
      </c>
      <c r="B61" s="119"/>
      <c r="C61" s="141" t="s">
        <v>715</v>
      </c>
      <c r="D61" s="121">
        <v>150515</v>
      </c>
      <c r="E61" s="121">
        <v>150</v>
      </c>
      <c r="F61" s="121">
        <v>1</v>
      </c>
      <c r="G61" s="122">
        <f t="shared" si="5"/>
        <v>150</v>
      </c>
      <c r="H61" s="121" t="s">
        <v>706</v>
      </c>
      <c r="I61" s="129">
        <v>1.5</v>
      </c>
      <c r="J61" s="109">
        <f t="shared" si="4"/>
        <v>225</v>
      </c>
      <c r="K61" s="671"/>
      <c r="L61" s="121" t="s">
        <v>630</v>
      </c>
    </row>
    <row r="62" spans="1:12" ht="240">
      <c r="A62" s="118" t="s">
        <v>716</v>
      </c>
      <c r="B62" s="119"/>
      <c r="C62" s="141" t="s">
        <v>717</v>
      </c>
      <c r="D62" s="121">
        <v>94897</v>
      </c>
      <c r="E62" s="121">
        <v>150</v>
      </c>
      <c r="F62" s="121">
        <v>1</v>
      </c>
      <c r="G62" s="122">
        <f t="shared" si="5"/>
        <v>150</v>
      </c>
      <c r="H62" s="121" t="s">
        <v>706</v>
      </c>
      <c r="I62" s="129">
        <v>10</v>
      </c>
      <c r="J62" s="109">
        <f t="shared" si="4"/>
        <v>1500</v>
      </c>
      <c r="K62" s="671"/>
      <c r="L62" s="121" t="s">
        <v>630</v>
      </c>
    </row>
    <row r="63" spans="1:12" ht="135">
      <c r="A63" s="118" t="s">
        <v>718</v>
      </c>
      <c r="B63" s="119"/>
      <c r="C63" s="141" t="s">
        <v>719</v>
      </c>
      <c r="D63" s="121">
        <v>32859</v>
      </c>
      <c r="E63" s="121">
        <v>150</v>
      </c>
      <c r="F63" s="121">
        <v>1</v>
      </c>
      <c r="G63" s="122">
        <f t="shared" si="5"/>
        <v>150</v>
      </c>
      <c r="H63" s="121" t="s">
        <v>706</v>
      </c>
      <c r="I63" s="129">
        <v>5.5</v>
      </c>
      <c r="J63" s="109">
        <f t="shared" si="4"/>
        <v>825</v>
      </c>
      <c r="K63" s="672"/>
      <c r="L63" s="121" t="s">
        <v>630</v>
      </c>
    </row>
    <row r="64" spans="1:12">
      <c r="A64" s="111" t="s">
        <v>720</v>
      </c>
      <c r="B64" s="112"/>
      <c r="C64" s="113"/>
      <c r="D64" s="114"/>
      <c r="E64" s="114"/>
      <c r="F64" s="114"/>
      <c r="G64" s="115"/>
      <c r="H64" s="114"/>
      <c r="I64" s="125"/>
      <c r="J64" s="157"/>
      <c r="K64" s="117">
        <f>SUM(J65:J66)</f>
        <v>13040</v>
      </c>
      <c r="L64" s="114"/>
    </row>
    <row r="65" spans="1:12" ht="409.5">
      <c r="A65" s="118" t="s">
        <v>721</v>
      </c>
      <c r="B65" s="119"/>
      <c r="C65" s="141" t="s">
        <v>722</v>
      </c>
      <c r="D65" s="121">
        <v>25089</v>
      </c>
      <c r="E65" s="121">
        <v>5</v>
      </c>
      <c r="F65" s="121">
        <v>1</v>
      </c>
      <c r="G65" s="122">
        <f t="shared" si="5"/>
        <v>5</v>
      </c>
      <c r="H65" s="121" t="s">
        <v>723</v>
      </c>
      <c r="I65" s="129">
        <v>2000</v>
      </c>
      <c r="J65" s="109">
        <f>I65*G65</f>
        <v>10000</v>
      </c>
      <c r="K65" s="658"/>
      <c r="L65" s="121" t="s">
        <v>630</v>
      </c>
    </row>
    <row r="66" spans="1:12" ht="210">
      <c r="A66" s="144" t="s">
        <v>724</v>
      </c>
      <c r="B66" s="171"/>
      <c r="C66" s="141" t="s">
        <v>725</v>
      </c>
      <c r="D66" s="121">
        <v>25089</v>
      </c>
      <c r="E66" s="121">
        <v>4</v>
      </c>
      <c r="F66" s="121">
        <v>1</v>
      </c>
      <c r="G66" s="122">
        <f t="shared" si="5"/>
        <v>4</v>
      </c>
      <c r="H66" s="121" t="s">
        <v>723</v>
      </c>
      <c r="I66" s="129">
        <v>760</v>
      </c>
      <c r="J66" s="109">
        <f>I66*G66</f>
        <v>3040</v>
      </c>
      <c r="K66" s="659"/>
      <c r="L66" s="121" t="s">
        <v>630</v>
      </c>
    </row>
    <row r="67" spans="1:12">
      <c r="A67" s="100"/>
      <c r="B67" s="101"/>
      <c r="C67" s="101"/>
      <c r="D67" s="101"/>
      <c r="E67" s="101"/>
      <c r="F67" s="101"/>
      <c r="G67" s="101"/>
      <c r="H67" s="101"/>
      <c r="I67" s="101"/>
      <c r="J67" s="101"/>
      <c r="K67" s="102"/>
      <c r="L67" s="103"/>
    </row>
    <row r="68" spans="1:12" ht="63">
      <c r="A68" s="136" t="s">
        <v>595</v>
      </c>
      <c r="B68" s="172"/>
      <c r="C68" s="128"/>
      <c r="D68" s="121"/>
      <c r="E68" s="121"/>
      <c r="F68" s="121"/>
      <c r="G68" s="122"/>
      <c r="H68" s="121"/>
      <c r="I68" s="129"/>
      <c r="J68" s="121"/>
      <c r="K68" s="110">
        <f>SUM(K69+K73+K84+K125+K131+K139+K149+K153)</f>
        <v>846523.5</v>
      </c>
      <c r="L68" s="121"/>
    </row>
    <row r="69" spans="1:12">
      <c r="A69" s="111" t="s">
        <v>726</v>
      </c>
      <c r="B69" s="112"/>
      <c r="C69" s="124"/>
      <c r="D69" s="114"/>
      <c r="E69" s="114"/>
      <c r="F69" s="114"/>
      <c r="G69" s="115"/>
      <c r="H69" s="114"/>
      <c r="I69" s="125"/>
      <c r="J69" s="114"/>
      <c r="K69" s="117">
        <f>SUM(J70:J72)</f>
        <v>200400</v>
      </c>
      <c r="L69" s="114"/>
    </row>
    <row r="70" spans="1:12">
      <c r="A70" s="118" t="s">
        <v>637</v>
      </c>
      <c r="B70" s="119"/>
      <c r="C70" s="660" t="s">
        <v>638</v>
      </c>
      <c r="D70" s="121">
        <v>9946</v>
      </c>
      <c r="E70" s="121">
        <v>30</v>
      </c>
      <c r="F70" s="121">
        <v>4</v>
      </c>
      <c r="G70" s="122">
        <f>E70*F70</f>
        <v>120</v>
      </c>
      <c r="H70" s="121" t="s">
        <v>639</v>
      </c>
      <c r="I70" s="129">
        <v>260</v>
      </c>
      <c r="J70" s="109">
        <f>I70*G70</f>
        <v>31200</v>
      </c>
      <c r="K70" s="658"/>
      <c r="L70" s="121" t="s">
        <v>630</v>
      </c>
    </row>
    <row r="71" spans="1:12">
      <c r="A71" s="118" t="s">
        <v>640</v>
      </c>
      <c r="B71" s="119"/>
      <c r="C71" s="661"/>
      <c r="D71" s="121">
        <v>9946</v>
      </c>
      <c r="E71" s="121">
        <v>90</v>
      </c>
      <c r="F71" s="121">
        <v>4</v>
      </c>
      <c r="G71" s="122">
        <f>E71*F71</f>
        <v>360</v>
      </c>
      <c r="H71" s="121" t="s">
        <v>639</v>
      </c>
      <c r="I71" s="129">
        <v>340</v>
      </c>
      <c r="J71" s="109">
        <f t="shared" ref="J71:J72" si="6">I71*G71</f>
        <v>122400</v>
      </c>
      <c r="K71" s="663"/>
      <c r="L71" s="121" t="s">
        <v>630</v>
      </c>
    </row>
    <row r="72" spans="1:12">
      <c r="A72" s="118" t="s">
        <v>727</v>
      </c>
      <c r="B72" s="119"/>
      <c r="C72" s="662"/>
      <c r="D72" s="121">
        <v>9946</v>
      </c>
      <c r="E72" s="121">
        <v>30</v>
      </c>
      <c r="F72" s="121">
        <v>4</v>
      </c>
      <c r="G72" s="122">
        <f>E72*F72</f>
        <v>120</v>
      </c>
      <c r="H72" s="121" t="s">
        <v>639</v>
      </c>
      <c r="I72" s="129">
        <v>390</v>
      </c>
      <c r="J72" s="109">
        <f t="shared" si="6"/>
        <v>46800</v>
      </c>
      <c r="K72" s="659"/>
      <c r="L72" s="121" t="s">
        <v>630</v>
      </c>
    </row>
    <row r="73" spans="1:12">
      <c r="A73" s="111" t="s">
        <v>728</v>
      </c>
      <c r="B73" s="112"/>
      <c r="C73" s="124"/>
      <c r="D73" s="114"/>
      <c r="E73" s="114"/>
      <c r="F73" s="114"/>
      <c r="G73" s="115"/>
      <c r="H73" s="114"/>
      <c r="I73" s="125"/>
      <c r="J73" s="114"/>
      <c r="K73" s="117">
        <f>SUM(J74:J83)</f>
        <v>75610</v>
      </c>
      <c r="L73" s="114"/>
    </row>
    <row r="74" spans="1:12" ht="210">
      <c r="A74" s="118" t="s">
        <v>643</v>
      </c>
      <c r="B74" s="119"/>
      <c r="C74" s="141" t="s">
        <v>729</v>
      </c>
      <c r="D74" s="121">
        <v>22721</v>
      </c>
      <c r="E74" s="121">
        <v>1</v>
      </c>
      <c r="F74" s="121">
        <v>5</v>
      </c>
      <c r="G74" s="122">
        <f t="shared" ref="G74:G149" si="7">E74*F74</f>
        <v>5</v>
      </c>
      <c r="H74" s="121" t="s">
        <v>639</v>
      </c>
      <c r="I74" s="129">
        <v>10000</v>
      </c>
      <c r="J74" s="109">
        <f>I74*G74</f>
        <v>50000</v>
      </c>
      <c r="K74" s="658"/>
      <c r="L74" s="121" t="s">
        <v>630</v>
      </c>
    </row>
    <row r="75" spans="1:12" ht="120">
      <c r="A75" s="118" t="s">
        <v>670</v>
      </c>
      <c r="B75" s="119"/>
      <c r="C75" s="141" t="s">
        <v>730</v>
      </c>
      <c r="D75" s="121">
        <v>22721</v>
      </c>
      <c r="E75" s="121">
        <v>1</v>
      </c>
      <c r="F75" s="121">
        <v>4</v>
      </c>
      <c r="G75" s="122">
        <f>E75*F75</f>
        <v>4</v>
      </c>
      <c r="H75" s="121" t="s">
        <v>639</v>
      </c>
      <c r="I75" s="129">
        <v>1200</v>
      </c>
      <c r="J75" s="109">
        <f t="shared" ref="J75:J83" si="8">I75*G75</f>
        <v>4800</v>
      </c>
      <c r="K75" s="663"/>
      <c r="L75" s="121" t="s">
        <v>630</v>
      </c>
    </row>
    <row r="76" spans="1:12" ht="105">
      <c r="A76" s="118" t="s">
        <v>731</v>
      </c>
      <c r="B76" s="119"/>
      <c r="C76" s="141" t="s">
        <v>648</v>
      </c>
      <c r="D76" s="121">
        <v>22721</v>
      </c>
      <c r="E76" s="121">
        <v>1</v>
      </c>
      <c r="F76" s="121">
        <v>5</v>
      </c>
      <c r="G76" s="122">
        <f t="shared" si="7"/>
        <v>5</v>
      </c>
      <c r="H76" s="121" t="s">
        <v>639</v>
      </c>
      <c r="I76" s="129">
        <v>600</v>
      </c>
      <c r="J76" s="109">
        <f t="shared" si="8"/>
        <v>3000</v>
      </c>
      <c r="K76" s="663"/>
      <c r="L76" s="121" t="s">
        <v>630</v>
      </c>
    </row>
    <row r="77" spans="1:12" ht="105">
      <c r="A77" s="118" t="s">
        <v>732</v>
      </c>
      <c r="B77" s="119"/>
      <c r="C77" s="141" t="s">
        <v>648</v>
      </c>
      <c r="D77" s="121">
        <v>22721</v>
      </c>
      <c r="E77" s="121">
        <v>1</v>
      </c>
      <c r="F77" s="121">
        <v>4</v>
      </c>
      <c r="G77" s="122">
        <f t="shared" si="7"/>
        <v>4</v>
      </c>
      <c r="H77" s="121" t="s">
        <v>639</v>
      </c>
      <c r="I77" s="129">
        <v>600</v>
      </c>
      <c r="J77" s="109">
        <f t="shared" si="8"/>
        <v>2400</v>
      </c>
      <c r="K77" s="663"/>
      <c r="L77" s="121" t="s">
        <v>630</v>
      </c>
    </row>
    <row r="78" spans="1:12" ht="120">
      <c r="A78" s="118" t="s">
        <v>733</v>
      </c>
      <c r="B78" s="119"/>
      <c r="C78" s="141" t="s">
        <v>734</v>
      </c>
      <c r="D78" s="121">
        <v>22721</v>
      </c>
      <c r="E78" s="121">
        <v>1</v>
      </c>
      <c r="F78" s="121">
        <v>1</v>
      </c>
      <c r="G78" s="122">
        <f t="shared" si="7"/>
        <v>1</v>
      </c>
      <c r="H78" s="121" t="s">
        <v>639</v>
      </c>
      <c r="I78" s="129">
        <v>1370</v>
      </c>
      <c r="J78" s="109">
        <f t="shared" si="8"/>
        <v>1370</v>
      </c>
      <c r="K78" s="663"/>
      <c r="L78" s="121" t="s">
        <v>630</v>
      </c>
    </row>
    <row r="79" spans="1:12" ht="105">
      <c r="A79" s="118" t="s">
        <v>735</v>
      </c>
      <c r="B79" s="119"/>
      <c r="C79" s="141" t="s">
        <v>736</v>
      </c>
      <c r="D79" s="121">
        <v>22721</v>
      </c>
      <c r="E79" s="121">
        <v>1</v>
      </c>
      <c r="F79" s="121">
        <v>2</v>
      </c>
      <c r="G79" s="122">
        <f t="shared" si="7"/>
        <v>2</v>
      </c>
      <c r="H79" s="121" t="s">
        <v>639</v>
      </c>
      <c r="I79" s="129">
        <v>3850</v>
      </c>
      <c r="J79" s="109">
        <f t="shared" si="8"/>
        <v>7700</v>
      </c>
      <c r="K79" s="663"/>
      <c r="L79" s="121" t="s">
        <v>630</v>
      </c>
    </row>
    <row r="80" spans="1:12" ht="120">
      <c r="A80" s="118" t="s">
        <v>737</v>
      </c>
      <c r="B80" s="119"/>
      <c r="C80" s="141" t="s">
        <v>738</v>
      </c>
      <c r="D80" s="121">
        <v>22721</v>
      </c>
      <c r="E80" s="121">
        <v>1</v>
      </c>
      <c r="F80" s="121">
        <v>1</v>
      </c>
      <c r="G80" s="122">
        <f t="shared" si="7"/>
        <v>1</v>
      </c>
      <c r="H80" s="121" t="s">
        <v>639</v>
      </c>
      <c r="I80" s="129">
        <v>1370</v>
      </c>
      <c r="J80" s="109">
        <f t="shared" si="8"/>
        <v>1370</v>
      </c>
      <c r="K80" s="663"/>
      <c r="L80" s="121" t="s">
        <v>630</v>
      </c>
    </row>
    <row r="81" spans="1:12" ht="120">
      <c r="A81" s="118" t="s">
        <v>739</v>
      </c>
      <c r="B81" s="119"/>
      <c r="C81" s="141" t="s">
        <v>740</v>
      </c>
      <c r="D81" s="121">
        <v>22721</v>
      </c>
      <c r="E81" s="121">
        <v>1</v>
      </c>
      <c r="F81" s="121">
        <v>1</v>
      </c>
      <c r="G81" s="122">
        <f t="shared" si="7"/>
        <v>1</v>
      </c>
      <c r="H81" s="121" t="s">
        <v>639</v>
      </c>
      <c r="I81" s="129">
        <v>1200</v>
      </c>
      <c r="J81" s="109">
        <f t="shared" si="8"/>
        <v>1200</v>
      </c>
      <c r="K81" s="663"/>
      <c r="L81" s="121" t="s">
        <v>630</v>
      </c>
    </row>
    <row r="82" spans="1:12" ht="120">
      <c r="A82" s="118" t="s">
        <v>741</v>
      </c>
      <c r="B82" s="173"/>
      <c r="C82" s="141" t="s">
        <v>738</v>
      </c>
      <c r="D82" s="121">
        <v>22721</v>
      </c>
      <c r="E82" s="121">
        <v>1</v>
      </c>
      <c r="F82" s="121">
        <v>1</v>
      </c>
      <c r="G82" s="122">
        <f t="shared" si="7"/>
        <v>1</v>
      </c>
      <c r="H82" s="121" t="s">
        <v>639</v>
      </c>
      <c r="I82" s="129">
        <v>1370</v>
      </c>
      <c r="J82" s="109">
        <f t="shared" si="8"/>
        <v>1370</v>
      </c>
      <c r="K82" s="663"/>
      <c r="L82" s="121" t="s">
        <v>630</v>
      </c>
    </row>
    <row r="83" spans="1:12" ht="120">
      <c r="A83" s="118" t="s">
        <v>742</v>
      </c>
      <c r="B83" s="119"/>
      <c r="C83" s="141" t="s">
        <v>740</v>
      </c>
      <c r="D83" s="121">
        <v>22721</v>
      </c>
      <c r="E83" s="121">
        <v>1</v>
      </c>
      <c r="F83" s="121">
        <v>2</v>
      </c>
      <c r="G83" s="122">
        <f t="shared" si="7"/>
        <v>2</v>
      </c>
      <c r="H83" s="121" t="s">
        <v>639</v>
      </c>
      <c r="I83" s="129">
        <v>1200</v>
      </c>
      <c r="J83" s="109">
        <f t="shared" si="8"/>
        <v>2400</v>
      </c>
      <c r="K83" s="659"/>
      <c r="L83" s="121" t="s">
        <v>630</v>
      </c>
    </row>
    <row r="84" spans="1:12">
      <c r="A84" s="142" t="s">
        <v>651</v>
      </c>
      <c r="B84" s="143"/>
      <c r="C84" s="113"/>
      <c r="D84" s="114"/>
      <c r="E84" s="114"/>
      <c r="F84" s="114"/>
      <c r="G84" s="115"/>
      <c r="H84" s="114"/>
      <c r="I84" s="125"/>
      <c r="J84" s="114"/>
      <c r="K84" s="117">
        <f>SUM(J85:J124)</f>
        <v>109335.5</v>
      </c>
      <c r="L84" s="114"/>
    </row>
    <row r="85" spans="1:12" ht="30">
      <c r="A85" s="126" t="s">
        <v>743</v>
      </c>
      <c r="B85" s="664" t="s">
        <v>643</v>
      </c>
      <c r="C85" s="128" t="s">
        <v>744</v>
      </c>
      <c r="D85" s="121">
        <v>22888</v>
      </c>
      <c r="E85" s="121">
        <v>1</v>
      </c>
      <c r="F85" s="121">
        <v>5</v>
      </c>
      <c r="G85" s="122">
        <f t="shared" si="7"/>
        <v>5</v>
      </c>
      <c r="H85" s="121" t="s">
        <v>639</v>
      </c>
      <c r="I85" s="129">
        <v>40</v>
      </c>
      <c r="J85" s="109">
        <f>I85*G85</f>
        <v>200</v>
      </c>
      <c r="K85" s="658"/>
      <c r="L85" s="121" t="s">
        <v>630</v>
      </c>
    </row>
    <row r="86" spans="1:12" ht="75">
      <c r="A86" s="118" t="s">
        <v>745</v>
      </c>
      <c r="B86" s="665"/>
      <c r="C86" s="141" t="s">
        <v>746</v>
      </c>
      <c r="D86" s="121">
        <v>14591</v>
      </c>
      <c r="E86" s="121">
        <v>11</v>
      </c>
      <c r="F86" s="121">
        <v>5</v>
      </c>
      <c r="G86" s="122">
        <f t="shared" si="7"/>
        <v>55</v>
      </c>
      <c r="H86" s="121" t="s">
        <v>639</v>
      </c>
      <c r="I86" s="129">
        <v>62</v>
      </c>
      <c r="J86" s="109">
        <f t="shared" ref="J86:J124" si="9">I86*G86</f>
        <v>3410</v>
      </c>
      <c r="K86" s="663"/>
      <c r="L86" s="121" t="s">
        <v>630</v>
      </c>
    </row>
    <row r="87" spans="1:12" ht="90">
      <c r="A87" s="118" t="s">
        <v>654</v>
      </c>
      <c r="B87" s="665"/>
      <c r="C87" s="141" t="s">
        <v>747</v>
      </c>
      <c r="D87" s="121">
        <v>14591</v>
      </c>
      <c r="E87" s="121">
        <v>6</v>
      </c>
      <c r="F87" s="121">
        <v>5</v>
      </c>
      <c r="G87" s="122">
        <f t="shared" si="7"/>
        <v>30</v>
      </c>
      <c r="H87" s="121" t="s">
        <v>639</v>
      </c>
      <c r="I87" s="129">
        <v>41</v>
      </c>
      <c r="J87" s="109">
        <f t="shared" si="9"/>
        <v>1230</v>
      </c>
      <c r="K87" s="663"/>
      <c r="L87" s="121" t="s">
        <v>630</v>
      </c>
    </row>
    <row r="88" spans="1:12">
      <c r="A88" s="126" t="s">
        <v>748</v>
      </c>
      <c r="B88" s="665"/>
      <c r="C88" s="141" t="s">
        <v>749</v>
      </c>
      <c r="D88" s="121">
        <v>22888</v>
      </c>
      <c r="E88" s="121">
        <v>1</v>
      </c>
      <c r="F88" s="121">
        <v>5</v>
      </c>
      <c r="G88" s="122">
        <f t="shared" si="7"/>
        <v>5</v>
      </c>
      <c r="H88" s="121" t="s">
        <v>639</v>
      </c>
      <c r="I88" s="129">
        <v>25</v>
      </c>
      <c r="J88" s="109">
        <f t="shared" si="9"/>
        <v>125</v>
      </c>
      <c r="K88" s="663"/>
      <c r="L88" s="121" t="s">
        <v>630</v>
      </c>
    </row>
    <row r="89" spans="1:12" ht="30">
      <c r="A89" s="118" t="s">
        <v>750</v>
      </c>
      <c r="B89" s="665"/>
      <c r="C89" s="141" t="s">
        <v>751</v>
      </c>
      <c r="D89" s="121">
        <v>22888</v>
      </c>
      <c r="E89" s="121">
        <v>1</v>
      </c>
      <c r="F89" s="121">
        <v>5</v>
      </c>
      <c r="G89" s="122">
        <f t="shared" si="7"/>
        <v>5</v>
      </c>
      <c r="H89" s="121" t="s">
        <v>639</v>
      </c>
      <c r="I89" s="129">
        <v>140</v>
      </c>
      <c r="J89" s="109">
        <f t="shared" si="9"/>
        <v>700</v>
      </c>
      <c r="K89" s="663"/>
      <c r="L89" s="121" t="s">
        <v>630</v>
      </c>
    </row>
    <row r="90" spans="1:12" ht="30">
      <c r="A90" s="126" t="s">
        <v>658</v>
      </c>
      <c r="B90" s="665"/>
      <c r="C90" s="128"/>
      <c r="D90" s="121">
        <v>13757</v>
      </c>
      <c r="E90" s="121">
        <v>2</v>
      </c>
      <c r="F90" s="121">
        <v>5</v>
      </c>
      <c r="G90" s="122">
        <f t="shared" si="7"/>
        <v>10</v>
      </c>
      <c r="H90" s="121" t="s">
        <v>639</v>
      </c>
      <c r="I90" s="129">
        <v>150</v>
      </c>
      <c r="J90" s="109">
        <f t="shared" si="9"/>
        <v>1500</v>
      </c>
      <c r="K90" s="663"/>
      <c r="L90" s="121" t="s">
        <v>630</v>
      </c>
    </row>
    <row r="91" spans="1:12">
      <c r="A91" s="126" t="s">
        <v>752</v>
      </c>
      <c r="B91" s="665"/>
      <c r="C91" s="128"/>
      <c r="D91" s="121">
        <v>12556</v>
      </c>
      <c r="E91" s="121">
        <v>2</v>
      </c>
      <c r="F91" s="121">
        <v>5</v>
      </c>
      <c r="G91" s="122">
        <f t="shared" si="7"/>
        <v>10</v>
      </c>
      <c r="H91" s="121" t="s">
        <v>639</v>
      </c>
      <c r="I91" s="129">
        <v>180</v>
      </c>
      <c r="J91" s="109">
        <f t="shared" si="9"/>
        <v>1800</v>
      </c>
      <c r="K91" s="663"/>
      <c r="L91" s="121" t="s">
        <v>630</v>
      </c>
    </row>
    <row r="92" spans="1:12">
      <c r="A92" s="118" t="s">
        <v>662</v>
      </c>
      <c r="B92" s="665"/>
      <c r="C92" s="141"/>
      <c r="D92" s="121">
        <v>13757</v>
      </c>
      <c r="E92" s="121">
        <v>2</v>
      </c>
      <c r="F92" s="121">
        <v>5</v>
      </c>
      <c r="G92" s="122">
        <f t="shared" si="7"/>
        <v>10</v>
      </c>
      <c r="H92" s="121" t="s">
        <v>639</v>
      </c>
      <c r="I92" s="129">
        <v>150</v>
      </c>
      <c r="J92" s="109">
        <f t="shared" si="9"/>
        <v>1500</v>
      </c>
      <c r="K92" s="663"/>
      <c r="L92" s="121" t="s">
        <v>630</v>
      </c>
    </row>
    <row r="93" spans="1:12" ht="90">
      <c r="A93" s="118" t="s">
        <v>753</v>
      </c>
      <c r="B93" s="665"/>
      <c r="C93" s="141" t="s">
        <v>754</v>
      </c>
      <c r="D93" s="121">
        <v>22888</v>
      </c>
      <c r="E93" s="121">
        <v>1</v>
      </c>
      <c r="F93" s="121">
        <v>5</v>
      </c>
      <c r="G93" s="122">
        <f t="shared" si="7"/>
        <v>5</v>
      </c>
      <c r="H93" s="121"/>
      <c r="I93" s="129">
        <v>1162.5</v>
      </c>
      <c r="J93" s="109">
        <f t="shared" si="9"/>
        <v>5812.5</v>
      </c>
      <c r="K93" s="663"/>
      <c r="L93" s="121" t="s">
        <v>630</v>
      </c>
    </row>
    <row r="94" spans="1:12" ht="45">
      <c r="A94" s="118" t="s">
        <v>755</v>
      </c>
      <c r="B94" s="665"/>
      <c r="C94" s="141"/>
      <c r="D94" s="121">
        <v>22888</v>
      </c>
      <c r="E94" s="121">
        <v>300</v>
      </c>
      <c r="F94" s="121">
        <v>5</v>
      </c>
      <c r="G94" s="122">
        <f t="shared" si="7"/>
        <v>1500</v>
      </c>
      <c r="H94" s="121" t="s">
        <v>639</v>
      </c>
      <c r="I94" s="129">
        <v>17.5</v>
      </c>
      <c r="J94" s="109">
        <f t="shared" si="9"/>
        <v>26250</v>
      </c>
      <c r="K94" s="663"/>
      <c r="L94" s="121" t="s">
        <v>630</v>
      </c>
    </row>
    <row r="95" spans="1:12" ht="90">
      <c r="A95" s="118" t="s">
        <v>756</v>
      </c>
      <c r="B95" s="665"/>
      <c r="C95" s="141" t="s">
        <v>757</v>
      </c>
      <c r="D95" s="121">
        <v>22888</v>
      </c>
      <c r="E95" s="121">
        <v>100</v>
      </c>
      <c r="F95" s="121">
        <v>5</v>
      </c>
      <c r="G95" s="122">
        <f t="shared" si="7"/>
        <v>500</v>
      </c>
      <c r="H95" s="121" t="s">
        <v>639</v>
      </c>
      <c r="I95" s="129">
        <v>35</v>
      </c>
      <c r="J95" s="109">
        <f t="shared" si="9"/>
        <v>17500</v>
      </c>
      <c r="K95" s="663"/>
      <c r="L95" s="121" t="s">
        <v>630</v>
      </c>
    </row>
    <row r="96" spans="1:12" ht="30">
      <c r="A96" s="118" t="s">
        <v>758</v>
      </c>
      <c r="B96" s="665"/>
      <c r="C96" s="141" t="s">
        <v>759</v>
      </c>
      <c r="D96" s="121">
        <v>12556</v>
      </c>
      <c r="E96" s="121">
        <v>2</v>
      </c>
      <c r="F96" s="121">
        <v>5</v>
      </c>
      <c r="G96" s="122">
        <f t="shared" si="7"/>
        <v>10</v>
      </c>
      <c r="H96" s="121" t="s">
        <v>639</v>
      </c>
      <c r="I96" s="129">
        <v>30</v>
      </c>
      <c r="J96" s="109">
        <f t="shared" si="9"/>
        <v>300</v>
      </c>
      <c r="K96" s="663"/>
      <c r="L96" s="121" t="s">
        <v>630</v>
      </c>
    </row>
    <row r="97" spans="1:12" ht="105">
      <c r="A97" s="152" t="s">
        <v>665</v>
      </c>
      <c r="B97" s="665"/>
      <c r="C97" s="141" t="s">
        <v>666</v>
      </c>
      <c r="D97" s="153">
        <v>25062</v>
      </c>
      <c r="E97" s="151">
        <v>1</v>
      </c>
      <c r="F97" s="151">
        <v>4</v>
      </c>
      <c r="G97" s="154">
        <f t="shared" si="7"/>
        <v>4</v>
      </c>
      <c r="H97" s="151" t="s">
        <v>639</v>
      </c>
      <c r="I97" s="155">
        <v>650</v>
      </c>
      <c r="J97" s="156">
        <f t="shared" si="9"/>
        <v>2600</v>
      </c>
      <c r="K97" s="663"/>
      <c r="L97" s="121" t="s">
        <v>630</v>
      </c>
    </row>
    <row r="98" spans="1:12" ht="285">
      <c r="A98" s="118" t="s">
        <v>667</v>
      </c>
      <c r="B98" s="666"/>
      <c r="C98" s="141" t="s">
        <v>668</v>
      </c>
      <c r="D98" s="121">
        <v>12556</v>
      </c>
      <c r="E98" s="121">
        <v>1</v>
      </c>
      <c r="F98" s="121">
        <v>5</v>
      </c>
      <c r="G98" s="122">
        <f t="shared" si="7"/>
        <v>5</v>
      </c>
      <c r="H98" s="121" t="s">
        <v>639</v>
      </c>
      <c r="I98" s="129">
        <v>1200</v>
      </c>
      <c r="J98" s="109">
        <f t="shared" si="9"/>
        <v>6000</v>
      </c>
      <c r="K98" s="663"/>
      <c r="L98" s="121" t="s">
        <v>630</v>
      </c>
    </row>
    <row r="99" spans="1:12" ht="30">
      <c r="A99" s="118" t="s">
        <v>658</v>
      </c>
      <c r="B99" s="664" t="s">
        <v>760</v>
      </c>
      <c r="C99" s="128" t="s">
        <v>761</v>
      </c>
      <c r="D99" s="121">
        <v>13757</v>
      </c>
      <c r="E99" s="121">
        <v>1</v>
      </c>
      <c r="F99" s="121">
        <v>2</v>
      </c>
      <c r="G99" s="122">
        <f t="shared" si="7"/>
        <v>2</v>
      </c>
      <c r="H99" s="121" t="s">
        <v>639</v>
      </c>
      <c r="I99" s="129">
        <v>150</v>
      </c>
      <c r="J99" s="109">
        <f t="shared" si="9"/>
        <v>300</v>
      </c>
      <c r="K99" s="663"/>
      <c r="L99" s="121" t="s">
        <v>630</v>
      </c>
    </row>
    <row r="100" spans="1:12" ht="30">
      <c r="A100" s="118" t="s">
        <v>758</v>
      </c>
      <c r="B100" s="665"/>
      <c r="C100" s="141" t="s">
        <v>759</v>
      </c>
      <c r="D100" s="121">
        <v>12556</v>
      </c>
      <c r="E100" s="121">
        <v>2</v>
      </c>
      <c r="F100" s="121">
        <v>5</v>
      </c>
      <c r="G100" s="122">
        <f t="shared" si="7"/>
        <v>10</v>
      </c>
      <c r="H100" s="121" t="s">
        <v>639</v>
      </c>
      <c r="I100" s="129">
        <v>30</v>
      </c>
      <c r="J100" s="109">
        <f t="shared" si="9"/>
        <v>300</v>
      </c>
      <c r="K100" s="663"/>
      <c r="L100" s="121" t="s">
        <v>630</v>
      </c>
    </row>
    <row r="101" spans="1:12">
      <c r="A101" s="118" t="s">
        <v>662</v>
      </c>
      <c r="B101" s="665"/>
      <c r="C101" s="141"/>
      <c r="D101" s="121">
        <v>12556</v>
      </c>
      <c r="E101" s="121">
        <v>1</v>
      </c>
      <c r="F101" s="121">
        <v>2</v>
      </c>
      <c r="G101" s="122">
        <f t="shared" si="7"/>
        <v>2</v>
      </c>
      <c r="H101" s="121" t="s">
        <v>639</v>
      </c>
      <c r="I101" s="129">
        <v>150</v>
      </c>
      <c r="J101" s="109">
        <f t="shared" si="9"/>
        <v>300</v>
      </c>
      <c r="K101" s="663"/>
      <c r="L101" s="121" t="s">
        <v>630</v>
      </c>
    </row>
    <row r="102" spans="1:12" ht="75">
      <c r="A102" s="118" t="s">
        <v>745</v>
      </c>
      <c r="B102" s="666"/>
      <c r="C102" s="141" t="s">
        <v>746</v>
      </c>
      <c r="D102" s="121">
        <v>14591</v>
      </c>
      <c r="E102" s="121">
        <v>2</v>
      </c>
      <c r="F102" s="121">
        <v>2</v>
      </c>
      <c r="G102" s="122">
        <f t="shared" si="7"/>
        <v>4</v>
      </c>
      <c r="H102" s="121" t="s">
        <v>639</v>
      </c>
      <c r="I102" s="129">
        <v>62</v>
      </c>
      <c r="J102" s="109">
        <f t="shared" si="9"/>
        <v>248</v>
      </c>
      <c r="K102" s="663"/>
      <c r="L102" s="121" t="s">
        <v>630</v>
      </c>
    </row>
    <row r="103" spans="1:12" ht="75">
      <c r="A103" s="118" t="s">
        <v>745</v>
      </c>
      <c r="B103" s="664" t="s">
        <v>670</v>
      </c>
      <c r="C103" s="141" t="s">
        <v>762</v>
      </c>
      <c r="D103" s="121">
        <v>14591</v>
      </c>
      <c r="E103" s="121">
        <v>3</v>
      </c>
      <c r="F103" s="121">
        <v>3</v>
      </c>
      <c r="G103" s="122">
        <f t="shared" si="7"/>
        <v>9</v>
      </c>
      <c r="H103" s="121" t="s">
        <v>639</v>
      </c>
      <c r="I103" s="129">
        <v>62</v>
      </c>
      <c r="J103" s="109">
        <f t="shared" si="9"/>
        <v>558</v>
      </c>
      <c r="K103" s="663"/>
      <c r="L103" s="121" t="s">
        <v>630</v>
      </c>
    </row>
    <row r="104" spans="1:12" ht="30">
      <c r="A104" s="118" t="s">
        <v>763</v>
      </c>
      <c r="B104" s="665"/>
      <c r="C104" s="141"/>
      <c r="D104" s="121">
        <v>13757</v>
      </c>
      <c r="E104" s="121">
        <v>1</v>
      </c>
      <c r="F104" s="121">
        <v>3</v>
      </c>
      <c r="G104" s="122">
        <f t="shared" si="7"/>
        <v>3</v>
      </c>
      <c r="H104" s="121" t="s">
        <v>639</v>
      </c>
      <c r="I104" s="129">
        <v>150</v>
      </c>
      <c r="J104" s="109">
        <f t="shared" si="9"/>
        <v>450</v>
      </c>
      <c r="K104" s="663"/>
      <c r="L104" s="121" t="s">
        <v>630</v>
      </c>
    </row>
    <row r="105" spans="1:12">
      <c r="A105" s="118" t="s">
        <v>764</v>
      </c>
      <c r="B105" s="665"/>
      <c r="C105" s="141"/>
      <c r="D105" s="121">
        <v>12556</v>
      </c>
      <c r="E105" s="121">
        <v>1</v>
      </c>
      <c r="F105" s="121">
        <v>3</v>
      </c>
      <c r="G105" s="122">
        <f t="shared" si="7"/>
        <v>3</v>
      </c>
      <c r="H105" s="121" t="s">
        <v>639</v>
      </c>
      <c r="I105" s="129">
        <v>180</v>
      </c>
      <c r="J105" s="109">
        <f t="shared" si="9"/>
        <v>540</v>
      </c>
      <c r="K105" s="663"/>
      <c r="L105" s="121" t="s">
        <v>630</v>
      </c>
    </row>
    <row r="106" spans="1:12">
      <c r="A106" s="118" t="s">
        <v>669</v>
      </c>
      <c r="B106" s="665"/>
      <c r="C106" s="141"/>
      <c r="D106" s="121">
        <v>12556</v>
      </c>
      <c r="E106" s="121">
        <v>1</v>
      </c>
      <c r="F106" s="121">
        <v>3</v>
      </c>
      <c r="G106" s="122">
        <f t="shared" si="7"/>
        <v>3</v>
      </c>
      <c r="H106" s="121" t="s">
        <v>639</v>
      </c>
      <c r="I106" s="129">
        <v>150</v>
      </c>
      <c r="J106" s="109">
        <f t="shared" si="9"/>
        <v>450</v>
      </c>
      <c r="K106" s="663"/>
      <c r="L106" s="121" t="s">
        <v>630</v>
      </c>
    </row>
    <row r="107" spans="1:12" ht="45">
      <c r="A107" s="118" t="s">
        <v>755</v>
      </c>
      <c r="B107" s="665"/>
      <c r="C107" s="141"/>
      <c r="D107" s="121">
        <v>22888</v>
      </c>
      <c r="E107" s="121">
        <v>50</v>
      </c>
      <c r="F107" s="121">
        <v>3</v>
      </c>
      <c r="G107" s="122">
        <f t="shared" si="7"/>
        <v>150</v>
      </c>
      <c r="H107" s="121" t="s">
        <v>639</v>
      </c>
      <c r="I107" s="129">
        <v>17.5</v>
      </c>
      <c r="J107" s="109">
        <f t="shared" si="9"/>
        <v>2625</v>
      </c>
      <c r="K107" s="663"/>
      <c r="L107" s="121" t="s">
        <v>630</v>
      </c>
    </row>
    <row r="108" spans="1:12" ht="285">
      <c r="A108" s="118" t="s">
        <v>667</v>
      </c>
      <c r="B108" s="666"/>
      <c r="C108" s="141" t="s">
        <v>668</v>
      </c>
      <c r="D108" s="121">
        <v>12556</v>
      </c>
      <c r="E108" s="121">
        <v>1</v>
      </c>
      <c r="F108" s="121">
        <v>3</v>
      </c>
      <c r="G108" s="122">
        <f t="shared" si="7"/>
        <v>3</v>
      </c>
      <c r="H108" s="121" t="s">
        <v>639</v>
      </c>
      <c r="I108" s="129">
        <v>1200</v>
      </c>
      <c r="J108" s="109">
        <f t="shared" si="9"/>
        <v>3600</v>
      </c>
      <c r="K108" s="663"/>
      <c r="L108" s="121" t="s">
        <v>630</v>
      </c>
    </row>
    <row r="109" spans="1:12">
      <c r="A109" s="118" t="s">
        <v>669</v>
      </c>
      <c r="B109" s="664" t="s">
        <v>765</v>
      </c>
      <c r="C109" s="141"/>
      <c r="D109" s="121">
        <v>12556</v>
      </c>
      <c r="E109" s="121">
        <v>2</v>
      </c>
      <c r="F109" s="121">
        <v>5</v>
      </c>
      <c r="G109" s="122">
        <f t="shared" si="7"/>
        <v>10</v>
      </c>
      <c r="H109" s="121" t="s">
        <v>639</v>
      </c>
      <c r="I109" s="129">
        <v>150</v>
      </c>
      <c r="J109" s="109">
        <f t="shared" si="9"/>
        <v>1500</v>
      </c>
      <c r="K109" s="663"/>
      <c r="L109" s="121" t="s">
        <v>630</v>
      </c>
    </row>
    <row r="110" spans="1:12" ht="90">
      <c r="A110" s="118" t="s">
        <v>766</v>
      </c>
      <c r="B110" s="665"/>
      <c r="C110" s="141" t="s">
        <v>767</v>
      </c>
      <c r="D110" s="121">
        <v>12556</v>
      </c>
      <c r="E110" s="121">
        <v>1</v>
      </c>
      <c r="F110" s="121">
        <v>5</v>
      </c>
      <c r="G110" s="122">
        <f t="shared" si="7"/>
        <v>5</v>
      </c>
      <c r="H110" s="121" t="s">
        <v>639</v>
      </c>
      <c r="I110" s="129">
        <v>268</v>
      </c>
      <c r="J110" s="109">
        <f t="shared" si="9"/>
        <v>1340</v>
      </c>
      <c r="K110" s="663"/>
      <c r="L110" s="121" t="s">
        <v>630</v>
      </c>
    </row>
    <row r="111" spans="1:12" ht="45">
      <c r="A111" s="118" t="s">
        <v>768</v>
      </c>
      <c r="B111" s="666"/>
      <c r="C111" s="141"/>
      <c r="D111" s="121">
        <v>22888</v>
      </c>
      <c r="E111" s="121">
        <v>10</v>
      </c>
      <c r="F111" s="121">
        <v>5</v>
      </c>
      <c r="G111" s="122">
        <f t="shared" si="7"/>
        <v>50</v>
      </c>
      <c r="H111" s="121" t="s">
        <v>639</v>
      </c>
      <c r="I111" s="129">
        <v>17.5</v>
      </c>
      <c r="J111" s="109">
        <f t="shared" si="9"/>
        <v>875</v>
      </c>
      <c r="K111" s="663"/>
      <c r="L111" s="121" t="s">
        <v>630</v>
      </c>
    </row>
    <row r="112" spans="1:12">
      <c r="A112" s="118" t="s">
        <v>669</v>
      </c>
      <c r="B112" s="664" t="s">
        <v>769</v>
      </c>
      <c r="C112" s="141"/>
      <c r="D112" s="121"/>
      <c r="E112" s="121">
        <v>2</v>
      </c>
      <c r="F112" s="121">
        <v>4</v>
      </c>
      <c r="G112" s="122">
        <f t="shared" si="7"/>
        <v>8</v>
      </c>
      <c r="H112" s="121" t="s">
        <v>639</v>
      </c>
      <c r="I112" s="129">
        <v>150</v>
      </c>
      <c r="J112" s="109">
        <f t="shared" si="9"/>
        <v>1200</v>
      </c>
      <c r="K112" s="663"/>
      <c r="L112" s="121" t="s">
        <v>630</v>
      </c>
    </row>
    <row r="113" spans="1:12" ht="90">
      <c r="A113" s="118" t="s">
        <v>766</v>
      </c>
      <c r="B113" s="665"/>
      <c r="C113" s="141" t="s">
        <v>770</v>
      </c>
      <c r="D113" s="121">
        <v>12556</v>
      </c>
      <c r="E113" s="121">
        <v>1</v>
      </c>
      <c r="F113" s="121">
        <v>4</v>
      </c>
      <c r="G113" s="122">
        <f t="shared" si="7"/>
        <v>4</v>
      </c>
      <c r="H113" s="121" t="s">
        <v>639</v>
      </c>
      <c r="I113" s="129">
        <v>268</v>
      </c>
      <c r="J113" s="109">
        <f t="shared" si="9"/>
        <v>1072</v>
      </c>
      <c r="K113" s="663"/>
      <c r="L113" s="121" t="s">
        <v>630</v>
      </c>
    </row>
    <row r="114" spans="1:12" ht="45">
      <c r="A114" s="118" t="s">
        <v>755</v>
      </c>
      <c r="B114" s="665"/>
      <c r="C114" s="141"/>
      <c r="D114" s="121">
        <v>22888</v>
      </c>
      <c r="E114" s="121">
        <v>10</v>
      </c>
      <c r="F114" s="121">
        <v>4</v>
      </c>
      <c r="G114" s="122">
        <f t="shared" si="7"/>
        <v>40</v>
      </c>
      <c r="H114" s="121" t="s">
        <v>639</v>
      </c>
      <c r="I114" s="129">
        <v>17.5</v>
      </c>
      <c r="J114" s="109">
        <f t="shared" si="9"/>
        <v>700</v>
      </c>
      <c r="K114" s="663"/>
      <c r="L114" s="121" t="s">
        <v>630</v>
      </c>
    </row>
    <row r="115" spans="1:12">
      <c r="A115" s="118" t="s">
        <v>771</v>
      </c>
      <c r="B115" s="666"/>
      <c r="C115" s="141"/>
      <c r="D115" s="121">
        <v>22888</v>
      </c>
      <c r="E115" s="121">
        <v>1</v>
      </c>
      <c r="F115" s="121">
        <v>4</v>
      </c>
      <c r="G115" s="122">
        <f t="shared" si="7"/>
        <v>4</v>
      </c>
      <c r="H115" s="121"/>
      <c r="I115" s="129">
        <v>90</v>
      </c>
      <c r="J115" s="109">
        <f t="shared" si="9"/>
        <v>360</v>
      </c>
      <c r="K115" s="663"/>
      <c r="L115" s="121" t="s">
        <v>630</v>
      </c>
    </row>
    <row r="116" spans="1:12" ht="75">
      <c r="A116" s="118" t="s">
        <v>772</v>
      </c>
      <c r="B116" s="174" t="s">
        <v>735</v>
      </c>
      <c r="C116" s="141"/>
      <c r="D116" s="121"/>
      <c r="E116" s="121">
        <v>1</v>
      </c>
      <c r="F116" s="121">
        <v>1</v>
      </c>
      <c r="G116" s="122">
        <f t="shared" si="7"/>
        <v>1</v>
      </c>
      <c r="H116" s="121" t="s">
        <v>639</v>
      </c>
      <c r="I116" s="129">
        <v>6000</v>
      </c>
      <c r="J116" s="109">
        <f t="shared" si="9"/>
        <v>6000</v>
      </c>
      <c r="K116" s="663"/>
      <c r="L116" s="121" t="s">
        <v>630</v>
      </c>
    </row>
    <row r="117" spans="1:12" ht="45">
      <c r="A117" s="175" t="s">
        <v>773</v>
      </c>
      <c r="B117" s="176" t="s">
        <v>774</v>
      </c>
      <c r="C117" s="120"/>
      <c r="D117" s="121">
        <v>26344</v>
      </c>
      <c r="E117" s="121">
        <v>1</v>
      </c>
      <c r="F117" s="121">
        <v>4</v>
      </c>
      <c r="G117" s="122">
        <f t="shared" si="7"/>
        <v>4</v>
      </c>
      <c r="H117" s="121" t="s">
        <v>639</v>
      </c>
      <c r="I117" s="129">
        <v>1400</v>
      </c>
      <c r="J117" s="109">
        <f t="shared" si="9"/>
        <v>5600</v>
      </c>
      <c r="K117" s="663"/>
      <c r="L117" s="121" t="s">
        <v>630</v>
      </c>
    </row>
    <row r="118" spans="1:12">
      <c r="A118" s="118" t="s">
        <v>669</v>
      </c>
      <c r="B118" s="664" t="s">
        <v>775</v>
      </c>
      <c r="C118" s="141"/>
      <c r="D118" s="121">
        <v>12556</v>
      </c>
      <c r="E118" s="121">
        <v>3</v>
      </c>
      <c r="F118" s="121">
        <v>2</v>
      </c>
      <c r="G118" s="122">
        <f t="shared" si="7"/>
        <v>6</v>
      </c>
      <c r="H118" s="121" t="s">
        <v>639</v>
      </c>
      <c r="I118" s="129">
        <v>150</v>
      </c>
      <c r="J118" s="109">
        <f t="shared" si="9"/>
        <v>900</v>
      </c>
      <c r="K118" s="663"/>
      <c r="L118" s="121" t="s">
        <v>630</v>
      </c>
    </row>
    <row r="119" spans="1:12" ht="30">
      <c r="A119" s="118" t="s">
        <v>776</v>
      </c>
      <c r="B119" s="666"/>
      <c r="C119" s="141"/>
      <c r="D119" s="121">
        <v>12556</v>
      </c>
      <c r="E119" s="121">
        <v>3</v>
      </c>
      <c r="F119" s="121">
        <v>2</v>
      </c>
      <c r="G119" s="122">
        <f t="shared" si="7"/>
        <v>6</v>
      </c>
      <c r="H119" s="121" t="s">
        <v>639</v>
      </c>
      <c r="I119" s="129">
        <v>35</v>
      </c>
      <c r="J119" s="109">
        <f t="shared" si="9"/>
        <v>210</v>
      </c>
      <c r="K119" s="663"/>
      <c r="L119" s="121" t="s">
        <v>630</v>
      </c>
    </row>
    <row r="120" spans="1:12" ht="75">
      <c r="A120" s="118" t="s">
        <v>673</v>
      </c>
      <c r="B120" s="664" t="s">
        <v>777</v>
      </c>
      <c r="C120" s="141" t="s">
        <v>778</v>
      </c>
      <c r="D120" s="121">
        <v>17019</v>
      </c>
      <c r="E120" s="121">
        <v>1</v>
      </c>
      <c r="F120" s="121">
        <v>4</v>
      </c>
      <c r="G120" s="122">
        <f t="shared" si="7"/>
        <v>4</v>
      </c>
      <c r="H120" s="121" t="s">
        <v>639</v>
      </c>
      <c r="I120" s="129">
        <v>180</v>
      </c>
      <c r="J120" s="109">
        <f t="shared" si="9"/>
        <v>720</v>
      </c>
      <c r="K120" s="663"/>
      <c r="L120" s="121" t="s">
        <v>630</v>
      </c>
    </row>
    <row r="121" spans="1:12" ht="90">
      <c r="A121" s="118" t="s">
        <v>779</v>
      </c>
      <c r="B121" s="665"/>
      <c r="C121" s="141" t="s">
        <v>780</v>
      </c>
      <c r="D121" s="121">
        <v>17019</v>
      </c>
      <c r="E121" s="121">
        <v>4</v>
      </c>
      <c r="F121" s="121">
        <v>4</v>
      </c>
      <c r="G121" s="122">
        <f t="shared" si="7"/>
        <v>16</v>
      </c>
      <c r="H121" s="121" t="s">
        <v>639</v>
      </c>
      <c r="I121" s="129">
        <v>190</v>
      </c>
      <c r="J121" s="109">
        <f t="shared" si="9"/>
        <v>3040</v>
      </c>
      <c r="K121" s="663"/>
      <c r="L121" s="121" t="s">
        <v>630</v>
      </c>
    </row>
    <row r="122" spans="1:12" ht="45">
      <c r="A122" s="118" t="s">
        <v>781</v>
      </c>
      <c r="B122" s="665"/>
      <c r="C122" s="141" t="s">
        <v>782</v>
      </c>
      <c r="D122" s="121">
        <v>17019</v>
      </c>
      <c r="E122" s="121">
        <v>2</v>
      </c>
      <c r="F122" s="121">
        <v>4</v>
      </c>
      <c r="G122" s="122">
        <f t="shared" si="7"/>
        <v>8</v>
      </c>
      <c r="H122" s="121" t="s">
        <v>639</v>
      </c>
      <c r="I122" s="129">
        <v>130</v>
      </c>
      <c r="J122" s="109">
        <f t="shared" si="9"/>
        <v>1040</v>
      </c>
      <c r="K122" s="663"/>
      <c r="L122" s="121" t="s">
        <v>630</v>
      </c>
    </row>
    <row r="123" spans="1:12" ht="105">
      <c r="A123" s="118" t="s">
        <v>783</v>
      </c>
      <c r="B123" s="665"/>
      <c r="C123" s="141" t="s">
        <v>784</v>
      </c>
      <c r="D123" s="121">
        <v>17019</v>
      </c>
      <c r="E123" s="121">
        <v>35</v>
      </c>
      <c r="F123" s="121">
        <v>1</v>
      </c>
      <c r="G123" s="122">
        <f t="shared" si="7"/>
        <v>35</v>
      </c>
      <c r="H123" s="121" t="s">
        <v>639</v>
      </c>
      <c r="I123" s="129">
        <v>180</v>
      </c>
      <c r="J123" s="109">
        <f t="shared" si="9"/>
        <v>6300</v>
      </c>
      <c r="K123" s="663"/>
      <c r="L123" s="121" t="s">
        <v>630</v>
      </c>
    </row>
    <row r="124" spans="1:12" ht="45">
      <c r="A124" s="118" t="s">
        <v>785</v>
      </c>
      <c r="B124" s="666"/>
      <c r="C124" s="141" t="s">
        <v>786</v>
      </c>
      <c r="D124" s="121">
        <v>17019</v>
      </c>
      <c r="E124" s="121">
        <v>1</v>
      </c>
      <c r="F124" s="121">
        <v>1</v>
      </c>
      <c r="G124" s="122">
        <f t="shared" si="7"/>
        <v>1</v>
      </c>
      <c r="H124" s="121" t="s">
        <v>639</v>
      </c>
      <c r="I124" s="129">
        <v>180</v>
      </c>
      <c r="J124" s="109">
        <f t="shared" si="9"/>
        <v>180</v>
      </c>
      <c r="K124" s="659"/>
      <c r="L124" s="121" t="s">
        <v>630</v>
      </c>
    </row>
    <row r="125" spans="1:12" ht="30">
      <c r="A125" s="111" t="s">
        <v>681</v>
      </c>
      <c r="B125" s="177"/>
      <c r="C125" s="124"/>
      <c r="D125" s="114"/>
      <c r="E125" s="114"/>
      <c r="F125" s="114"/>
      <c r="G125" s="115"/>
      <c r="H125" s="114"/>
      <c r="I125" s="125"/>
      <c r="J125" s="114"/>
      <c r="K125" s="117">
        <f>SUM(J126:J130)</f>
        <v>29608</v>
      </c>
      <c r="L125" s="114"/>
    </row>
    <row r="126" spans="1:12" ht="30">
      <c r="A126" s="144" t="s">
        <v>682</v>
      </c>
      <c r="B126" s="178"/>
      <c r="C126" s="141"/>
      <c r="D126" s="121">
        <v>14591</v>
      </c>
      <c r="E126" s="146">
        <v>6</v>
      </c>
      <c r="F126" s="121">
        <v>5</v>
      </c>
      <c r="G126" s="122">
        <f>E126*F126</f>
        <v>30</v>
      </c>
      <c r="H126" s="121" t="s">
        <v>639</v>
      </c>
      <c r="I126" s="129">
        <v>220</v>
      </c>
      <c r="J126" s="109">
        <f>I126*G126</f>
        <v>6600</v>
      </c>
      <c r="K126" s="658"/>
      <c r="L126" s="121" t="s">
        <v>630</v>
      </c>
    </row>
    <row r="127" spans="1:12" ht="45">
      <c r="A127" s="144" t="s">
        <v>683</v>
      </c>
      <c r="B127" s="178"/>
      <c r="C127" s="141"/>
      <c r="D127" s="121">
        <v>25631</v>
      </c>
      <c r="E127" s="146">
        <v>6</v>
      </c>
      <c r="F127" s="121">
        <v>5</v>
      </c>
      <c r="G127" s="122">
        <f>E127*F127</f>
        <v>30</v>
      </c>
      <c r="H127" s="121" t="s">
        <v>639</v>
      </c>
      <c r="I127" s="129">
        <v>180</v>
      </c>
      <c r="J127" s="109">
        <f t="shared" ref="J127:J130" si="10">I127*G127</f>
        <v>5400</v>
      </c>
      <c r="K127" s="663"/>
      <c r="L127" s="121" t="s">
        <v>630</v>
      </c>
    </row>
    <row r="128" spans="1:12">
      <c r="A128" s="144" t="s">
        <v>684</v>
      </c>
      <c r="B128" s="178"/>
      <c r="C128" s="141"/>
      <c r="D128" s="121">
        <v>14591</v>
      </c>
      <c r="E128" s="121">
        <v>10</v>
      </c>
      <c r="F128" s="121">
        <v>1</v>
      </c>
      <c r="G128" s="122">
        <f t="shared" si="7"/>
        <v>10</v>
      </c>
      <c r="H128" s="121" t="s">
        <v>639</v>
      </c>
      <c r="I128" s="129">
        <v>250</v>
      </c>
      <c r="J128" s="109">
        <f t="shared" si="10"/>
        <v>2500</v>
      </c>
      <c r="K128" s="663"/>
      <c r="L128" s="121" t="s">
        <v>630</v>
      </c>
    </row>
    <row r="129" spans="1:12" ht="30">
      <c r="A129" s="144" t="s">
        <v>787</v>
      </c>
      <c r="B129" s="178"/>
      <c r="C129" s="128"/>
      <c r="D129" s="121">
        <v>3239</v>
      </c>
      <c r="E129" s="121">
        <v>6</v>
      </c>
      <c r="F129" s="121">
        <v>1</v>
      </c>
      <c r="G129" s="122">
        <f t="shared" si="7"/>
        <v>6</v>
      </c>
      <c r="H129" s="121" t="s">
        <v>639</v>
      </c>
      <c r="I129" s="129">
        <v>268</v>
      </c>
      <c r="J129" s="109">
        <f t="shared" si="10"/>
        <v>1608</v>
      </c>
      <c r="K129" s="663"/>
      <c r="L129" s="121" t="s">
        <v>630</v>
      </c>
    </row>
    <row r="130" spans="1:12">
      <c r="A130" s="179" t="s">
        <v>788</v>
      </c>
      <c r="B130" s="180"/>
      <c r="C130" s="141"/>
      <c r="D130" s="121">
        <v>12637</v>
      </c>
      <c r="E130" s="121">
        <v>3</v>
      </c>
      <c r="F130" s="121">
        <v>3</v>
      </c>
      <c r="G130" s="122">
        <f>E130*F130</f>
        <v>9</v>
      </c>
      <c r="H130" s="121" t="s">
        <v>639</v>
      </c>
      <c r="I130" s="129">
        <v>1500</v>
      </c>
      <c r="J130" s="109">
        <f t="shared" si="10"/>
        <v>13500</v>
      </c>
      <c r="K130" s="659"/>
      <c r="L130" s="121" t="s">
        <v>630</v>
      </c>
    </row>
    <row r="131" spans="1:12">
      <c r="A131" s="111" t="s">
        <v>685</v>
      </c>
      <c r="B131" s="177"/>
      <c r="C131" s="124"/>
      <c r="D131" s="114"/>
      <c r="E131" s="114"/>
      <c r="F131" s="114"/>
      <c r="G131" s="115"/>
      <c r="H131" s="114"/>
      <c r="I131" s="125"/>
      <c r="J131" s="114"/>
      <c r="K131" s="117">
        <f>SUM(J132:J137)</f>
        <v>219770</v>
      </c>
      <c r="L131" s="114"/>
    </row>
    <row r="132" spans="1:12">
      <c r="A132" s="118" t="s">
        <v>686</v>
      </c>
      <c r="B132" s="180"/>
      <c r="C132" s="660" t="s">
        <v>789</v>
      </c>
      <c r="D132" s="121">
        <v>3697</v>
      </c>
      <c r="E132" s="121">
        <v>300</v>
      </c>
      <c r="F132" s="121">
        <v>3</v>
      </c>
      <c r="G132" s="122">
        <f t="shared" si="7"/>
        <v>900</v>
      </c>
      <c r="H132" s="121" t="s">
        <v>692</v>
      </c>
      <c r="I132" s="129">
        <v>65</v>
      </c>
      <c r="J132" s="109">
        <f>I132*G132</f>
        <v>58500</v>
      </c>
      <c r="K132" s="658"/>
      <c r="L132" s="121" t="s">
        <v>630</v>
      </c>
    </row>
    <row r="133" spans="1:12">
      <c r="A133" s="118" t="s">
        <v>790</v>
      </c>
      <c r="B133" s="180"/>
      <c r="C133" s="662"/>
      <c r="D133" s="121">
        <v>3697</v>
      </c>
      <c r="E133" s="121">
        <v>300</v>
      </c>
      <c r="F133" s="121">
        <v>2</v>
      </c>
      <c r="G133" s="122">
        <f t="shared" si="7"/>
        <v>600</v>
      </c>
      <c r="H133" s="121" t="s">
        <v>692</v>
      </c>
      <c r="I133" s="129">
        <v>75</v>
      </c>
      <c r="J133" s="109">
        <f t="shared" ref="J133:J138" si="11">I133*G133</f>
        <v>45000</v>
      </c>
      <c r="K133" s="663"/>
      <c r="L133" s="121" t="s">
        <v>630</v>
      </c>
    </row>
    <row r="134" spans="1:12" ht="120">
      <c r="A134" s="118" t="s">
        <v>698</v>
      </c>
      <c r="B134" s="180"/>
      <c r="C134" s="141" t="s">
        <v>791</v>
      </c>
      <c r="D134" s="121">
        <v>3697</v>
      </c>
      <c r="E134" s="121">
        <v>350</v>
      </c>
      <c r="F134" s="121">
        <v>1</v>
      </c>
      <c r="G134" s="122">
        <f t="shared" si="7"/>
        <v>350</v>
      </c>
      <c r="H134" s="121" t="s">
        <v>692</v>
      </c>
      <c r="I134" s="129">
        <v>85</v>
      </c>
      <c r="J134" s="109">
        <f t="shared" si="11"/>
        <v>29750</v>
      </c>
      <c r="K134" s="663"/>
      <c r="L134" s="121" t="s">
        <v>630</v>
      </c>
    </row>
    <row r="135" spans="1:12" ht="75">
      <c r="A135" s="118" t="s">
        <v>792</v>
      </c>
      <c r="B135" s="180"/>
      <c r="C135" s="141" t="s">
        <v>793</v>
      </c>
      <c r="D135" s="121">
        <v>3697</v>
      </c>
      <c r="E135" s="121">
        <v>610</v>
      </c>
      <c r="F135" s="121">
        <v>3</v>
      </c>
      <c r="G135" s="122">
        <f t="shared" si="7"/>
        <v>1830</v>
      </c>
      <c r="H135" s="121" t="s">
        <v>692</v>
      </c>
      <c r="I135" s="129">
        <v>34</v>
      </c>
      <c r="J135" s="109">
        <f t="shared" si="11"/>
        <v>62220</v>
      </c>
      <c r="K135" s="663"/>
      <c r="L135" s="121" t="s">
        <v>630</v>
      </c>
    </row>
    <row r="136" spans="1:12" ht="60">
      <c r="A136" s="118" t="s">
        <v>794</v>
      </c>
      <c r="B136" s="180"/>
      <c r="C136" s="141" t="s">
        <v>795</v>
      </c>
      <c r="D136" s="121">
        <v>3697</v>
      </c>
      <c r="E136" s="121">
        <v>300</v>
      </c>
      <c r="F136" s="121">
        <v>1</v>
      </c>
      <c r="G136" s="122">
        <f t="shared" si="7"/>
        <v>300</v>
      </c>
      <c r="H136" s="121" t="s">
        <v>692</v>
      </c>
      <c r="I136" s="129">
        <v>15</v>
      </c>
      <c r="J136" s="109">
        <f t="shared" si="11"/>
        <v>4500</v>
      </c>
      <c r="K136" s="663"/>
      <c r="L136" s="121" t="s">
        <v>630</v>
      </c>
    </row>
    <row r="137" spans="1:12">
      <c r="A137" s="164" t="s">
        <v>796</v>
      </c>
      <c r="B137" s="166"/>
      <c r="C137" s="141" t="s">
        <v>643</v>
      </c>
      <c r="D137" s="121">
        <v>3697</v>
      </c>
      <c r="E137" s="121">
        <v>300</v>
      </c>
      <c r="F137" s="121">
        <v>3</v>
      </c>
      <c r="G137" s="122">
        <f t="shared" si="7"/>
        <v>900</v>
      </c>
      <c r="H137" s="121" t="s">
        <v>692</v>
      </c>
      <c r="I137" s="129">
        <v>22</v>
      </c>
      <c r="J137" s="109">
        <f t="shared" si="11"/>
        <v>19800</v>
      </c>
      <c r="K137" s="663"/>
      <c r="L137" s="121" t="s">
        <v>630</v>
      </c>
    </row>
    <row r="138" spans="1:12">
      <c r="A138" s="181" t="s">
        <v>796</v>
      </c>
      <c r="B138" s="182"/>
      <c r="C138" s="141" t="s">
        <v>797</v>
      </c>
      <c r="D138" s="121">
        <v>3697</v>
      </c>
      <c r="E138" s="121">
        <v>20</v>
      </c>
      <c r="F138" s="121">
        <v>3</v>
      </c>
      <c r="G138" s="122">
        <f t="shared" si="7"/>
        <v>60</v>
      </c>
      <c r="H138" s="121" t="s">
        <v>692</v>
      </c>
      <c r="I138" s="129">
        <v>22</v>
      </c>
      <c r="J138" s="109">
        <f t="shared" si="11"/>
        <v>1320</v>
      </c>
      <c r="K138" s="659"/>
      <c r="L138" s="121"/>
    </row>
    <row r="139" spans="1:12">
      <c r="A139" s="682" t="s">
        <v>701</v>
      </c>
      <c r="B139" s="683"/>
      <c r="C139" s="124"/>
      <c r="D139" s="114"/>
      <c r="E139" s="114"/>
      <c r="F139" s="114"/>
      <c r="G139" s="115"/>
      <c r="H139" s="114"/>
      <c r="I139" s="125"/>
      <c r="J139" s="114"/>
      <c r="K139" s="117">
        <f>SUM(J141:J148)</f>
        <v>26800</v>
      </c>
      <c r="L139" s="114"/>
    </row>
    <row r="140" spans="1:12">
      <c r="A140" s="684" t="s">
        <v>702</v>
      </c>
      <c r="B140" s="685"/>
      <c r="C140" s="128"/>
      <c r="D140" s="123" t="s">
        <v>703</v>
      </c>
      <c r="E140" s="121"/>
      <c r="F140" s="121"/>
      <c r="G140" s="122"/>
      <c r="H140" s="121"/>
      <c r="I140" s="129"/>
      <c r="J140" s="121"/>
      <c r="K140" s="670"/>
      <c r="L140" s="121" t="s">
        <v>630</v>
      </c>
    </row>
    <row r="141" spans="1:12" ht="60">
      <c r="A141" s="668" t="s">
        <v>704</v>
      </c>
      <c r="B141" s="675"/>
      <c r="C141" s="141" t="s">
        <v>798</v>
      </c>
      <c r="D141" s="121">
        <v>3948</v>
      </c>
      <c r="E141" s="121">
        <v>350</v>
      </c>
      <c r="F141" s="121">
        <v>1</v>
      </c>
      <c r="G141" s="122">
        <f t="shared" si="7"/>
        <v>350</v>
      </c>
      <c r="H141" s="121" t="s">
        <v>706</v>
      </c>
      <c r="I141" s="129">
        <v>30</v>
      </c>
      <c r="J141" s="109">
        <f>I141*G141</f>
        <v>10500</v>
      </c>
      <c r="K141" s="671"/>
      <c r="L141" s="121" t="s">
        <v>630</v>
      </c>
    </row>
    <row r="142" spans="1:12" ht="135">
      <c r="A142" s="668" t="s">
        <v>799</v>
      </c>
      <c r="B142" s="675"/>
      <c r="C142" s="141" t="s">
        <v>800</v>
      </c>
      <c r="D142" s="121">
        <v>138282</v>
      </c>
      <c r="E142" s="121">
        <v>320</v>
      </c>
      <c r="F142" s="121">
        <v>1</v>
      </c>
      <c r="G142" s="122">
        <f t="shared" si="7"/>
        <v>320</v>
      </c>
      <c r="H142" s="121" t="s">
        <v>706</v>
      </c>
      <c r="I142" s="129">
        <v>20</v>
      </c>
      <c r="J142" s="109">
        <f t="shared" ref="J142:J148" si="12">I142*G142</f>
        <v>6400</v>
      </c>
      <c r="K142" s="671"/>
      <c r="L142" s="121" t="s">
        <v>630</v>
      </c>
    </row>
    <row r="143" spans="1:12" ht="210">
      <c r="A143" s="668" t="s">
        <v>801</v>
      </c>
      <c r="B143" s="675"/>
      <c r="C143" s="141" t="s">
        <v>802</v>
      </c>
      <c r="D143" s="183">
        <v>94897</v>
      </c>
      <c r="E143" s="121">
        <v>320</v>
      </c>
      <c r="F143" s="121">
        <v>1</v>
      </c>
      <c r="G143" s="122">
        <f t="shared" si="7"/>
        <v>320</v>
      </c>
      <c r="H143" s="121" t="s">
        <v>706</v>
      </c>
      <c r="I143" s="129">
        <v>10</v>
      </c>
      <c r="J143" s="109">
        <f t="shared" si="12"/>
        <v>3200</v>
      </c>
      <c r="K143" s="671"/>
      <c r="L143" s="121" t="s">
        <v>630</v>
      </c>
    </row>
    <row r="144" spans="1:12" ht="135">
      <c r="A144" s="668" t="s">
        <v>803</v>
      </c>
      <c r="B144" s="675"/>
      <c r="C144" s="141" t="s">
        <v>804</v>
      </c>
      <c r="D144" s="121">
        <v>19313</v>
      </c>
      <c r="E144" s="121">
        <v>1</v>
      </c>
      <c r="F144" s="121">
        <v>1</v>
      </c>
      <c r="G144" s="122">
        <f t="shared" si="7"/>
        <v>1</v>
      </c>
      <c r="H144" s="121" t="s">
        <v>709</v>
      </c>
      <c r="I144" s="129">
        <v>2540</v>
      </c>
      <c r="J144" s="109">
        <f t="shared" si="12"/>
        <v>2540</v>
      </c>
      <c r="K144" s="671"/>
      <c r="L144" s="121" t="s">
        <v>630</v>
      </c>
    </row>
    <row r="145" spans="1:12" ht="120">
      <c r="A145" s="668" t="s">
        <v>710</v>
      </c>
      <c r="B145" s="675"/>
      <c r="C145" s="141" t="s">
        <v>805</v>
      </c>
      <c r="D145" s="183">
        <v>19313</v>
      </c>
      <c r="E145" s="121">
        <v>2</v>
      </c>
      <c r="F145" s="121">
        <v>1</v>
      </c>
      <c r="G145" s="122">
        <f t="shared" si="7"/>
        <v>2</v>
      </c>
      <c r="H145" s="121" t="s">
        <v>706</v>
      </c>
      <c r="I145" s="170">
        <v>160</v>
      </c>
      <c r="J145" s="109">
        <f t="shared" si="12"/>
        <v>320</v>
      </c>
      <c r="K145" s="671"/>
      <c r="L145" s="121" t="s">
        <v>630</v>
      </c>
    </row>
    <row r="146" spans="1:12" ht="135">
      <c r="A146" s="668" t="s">
        <v>712</v>
      </c>
      <c r="B146" s="675"/>
      <c r="C146" s="141" t="s">
        <v>806</v>
      </c>
      <c r="D146" s="121">
        <v>150788</v>
      </c>
      <c r="E146" s="121">
        <v>320</v>
      </c>
      <c r="F146" s="121">
        <v>1</v>
      </c>
      <c r="G146" s="122">
        <f t="shared" si="7"/>
        <v>320</v>
      </c>
      <c r="H146" s="121" t="s">
        <v>706</v>
      </c>
      <c r="I146" s="170">
        <v>5</v>
      </c>
      <c r="J146" s="109">
        <f t="shared" si="12"/>
        <v>1600</v>
      </c>
      <c r="K146" s="671"/>
      <c r="L146" s="121" t="s">
        <v>630</v>
      </c>
    </row>
    <row r="147" spans="1:12" ht="75">
      <c r="A147" s="668" t="s">
        <v>714</v>
      </c>
      <c r="B147" s="675"/>
      <c r="C147" s="141" t="s">
        <v>807</v>
      </c>
      <c r="D147" s="183">
        <v>15946</v>
      </c>
      <c r="E147" s="121">
        <v>320</v>
      </c>
      <c r="F147" s="121">
        <v>1</v>
      </c>
      <c r="G147" s="122">
        <f t="shared" si="7"/>
        <v>320</v>
      </c>
      <c r="H147" s="121" t="s">
        <v>706</v>
      </c>
      <c r="I147" s="129">
        <v>1.5</v>
      </c>
      <c r="J147" s="109">
        <f t="shared" si="12"/>
        <v>480</v>
      </c>
      <c r="K147" s="671"/>
      <c r="L147" s="121" t="s">
        <v>630</v>
      </c>
    </row>
    <row r="148" spans="1:12" ht="120">
      <c r="A148" s="668" t="s">
        <v>808</v>
      </c>
      <c r="B148" s="675"/>
      <c r="C148" s="141" t="s">
        <v>809</v>
      </c>
      <c r="D148" s="121">
        <v>32859</v>
      </c>
      <c r="E148" s="121">
        <v>320</v>
      </c>
      <c r="F148" s="121">
        <v>1</v>
      </c>
      <c r="G148" s="122">
        <f t="shared" si="7"/>
        <v>320</v>
      </c>
      <c r="H148" s="121" t="s">
        <v>709</v>
      </c>
      <c r="I148" s="129">
        <v>5.5</v>
      </c>
      <c r="J148" s="109">
        <f t="shared" si="12"/>
        <v>1760</v>
      </c>
      <c r="K148" s="672"/>
      <c r="L148" s="121" t="s">
        <v>630</v>
      </c>
    </row>
    <row r="149" spans="1:12">
      <c r="A149" s="676" t="s">
        <v>631</v>
      </c>
      <c r="B149" s="677"/>
      <c r="C149" s="124"/>
      <c r="D149" s="114"/>
      <c r="E149" s="114"/>
      <c r="F149" s="114"/>
      <c r="G149" s="115">
        <f t="shared" si="7"/>
        <v>0</v>
      </c>
      <c r="H149" s="114"/>
      <c r="I149" s="125"/>
      <c r="J149" s="114"/>
      <c r="K149" s="117">
        <f>SUM(J150:J152)</f>
        <v>88000</v>
      </c>
      <c r="L149" s="114"/>
    </row>
    <row r="150" spans="1:12">
      <c r="A150" s="680" t="s">
        <v>632</v>
      </c>
      <c r="B150" s="681"/>
      <c r="C150" s="128"/>
      <c r="D150" s="121">
        <v>20656</v>
      </c>
      <c r="E150" s="121">
        <v>4</v>
      </c>
      <c r="F150" s="121">
        <v>1</v>
      </c>
      <c r="G150" s="122">
        <v>2</v>
      </c>
      <c r="H150" s="121" t="s">
        <v>633</v>
      </c>
      <c r="I150" s="129">
        <v>16000</v>
      </c>
      <c r="J150" s="109">
        <f>I150*G150</f>
        <v>32000</v>
      </c>
      <c r="K150" s="658"/>
      <c r="L150" s="121" t="s">
        <v>630</v>
      </c>
    </row>
    <row r="151" spans="1:12">
      <c r="A151" s="691" t="s">
        <v>810</v>
      </c>
      <c r="B151" s="691"/>
      <c r="C151" s="128"/>
      <c r="D151" s="121">
        <v>20656</v>
      </c>
      <c r="E151" s="121">
        <v>4</v>
      </c>
      <c r="F151" s="121">
        <v>1</v>
      </c>
      <c r="G151" s="122">
        <v>4</v>
      </c>
      <c r="H151" s="121" t="s">
        <v>633</v>
      </c>
      <c r="I151" s="129">
        <v>8000</v>
      </c>
      <c r="J151" s="109">
        <f t="shared" ref="J151:J152" si="13">I151*G151</f>
        <v>32000</v>
      </c>
      <c r="K151" s="663"/>
      <c r="L151" s="121" t="s">
        <v>630</v>
      </c>
    </row>
    <row r="152" spans="1:12">
      <c r="A152" s="692" t="s">
        <v>811</v>
      </c>
      <c r="B152" s="693"/>
      <c r="C152" s="128"/>
      <c r="D152" s="121">
        <v>20656</v>
      </c>
      <c r="E152" s="121">
        <v>2</v>
      </c>
      <c r="F152" s="121">
        <v>1</v>
      </c>
      <c r="G152" s="122">
        <f t="shared" ref="G152" si="14">E152*F152</f>
        <v>2</v>
      </c>
      <c r="H152" s="121" t="s">
        <v>633</v>
      </c>
      <c r="I152" s="129">
        <v>12000</v>
      </c>
      <c r="J152" s="109">
        <f t="shared" si="13"/>
        <v>24000</v>
      </c>
      <c r="K152" s="659"/>
      <c r="L152" s="121" t="s">
        <v>630</v>
      </c>
    </row>
    <row r="153" spans="1:12">
      <c r="A153" s="694" t="s">
        <v>720</v>
      </c>
      <c r="B153" s="695"/>
      <c r="C153" s="124"/>
      <c r="D153" s="114"/>
      <c r="E153" s="114"/>
      <c r="F153" s="114"/>
      <c r="G153" s="114"/>
      <c r="H153" s="114"/>
      <c r="I153" s="125"/>
      <c r="J153" s="114"/>
      <c r="K153" s="117">
        <f>SUM(J154:J158)</f>
        <v>97000</v>
      </c>
      <c r="L153" s="114"/>
    </row>
    <row r="154" spans="1:12" ht="195">
      <c r="A154" s="668" t="s">
        <v>721</v>
      </c>
      <c r="B154" s="675"/>
      <c r="C154" s="141" t="s">
        <v>812</v>
      </c>
      <c r="D154" s="121">
        <v>25089</v>
      </c>
      <c r="E154" s="121">
        <v>22</v>
      </c>
      <c r="F154" s="121">
        <v>1</v>
      </c>
      <c r="G154" s="121">
        <f>E154*F154</f>
        <v>22</v>
      </c>
      <c r="H154" s="121" t="s">
        <v>639</v>
      </c>
      <c r="I154" s="129">
        <v>2000</v>
      </c>
      <c r="J154" s="109">
        <f>I154*G154</f>
        <v>44000</v>
      </c>
      <c r="K154" s="658"/>
      <c r="L154" s="121" t="s">
        <v>630</v>
      </c>
    </row>
    <row r="155" spans="1:12" ht="150">
      <c r="A155" s="668" t="s">
        <v>813</v>
      </c>
      <c r="B155" s="675"/>
      <c r="C155" s="141" t="s">
        <v>814</v>
      </c>
      <c r="D155" s="121">
        <v>25089</v>
      </c>
      <c r="E155" s="121">
        <v>16</v>
      </c>
      <c r="F155" s="121">
        <v>1</v>
      </c>
      <c r="G155" s="121">
        <f>E155*F155</f>
        <v>16</v>
      </c>
      <c r="H155" s="121" t="s">
        <v>639</v>
      </c>
      <c r="I155" s="129">
        <v>1300</v>
      </c>
      <c r="J155" s="109">
        <f t="shared" ref="J155:J158" si="15">I155*G155</f>
        <v>20800</v>
      </c>
      <c r="K155" s="663"/>
      <c r="L155" s="121" t="s">
        <v>630</v>
      </c>
    </row>
    <row r="156" spans="1:12" ht="225">
      <c r="A156" s="668" t="s">
        <v>724</v>
      </c>
      <c r="B156" s="675"/>
      <c r="C156" s="141" t="s">
        <v>815</v>
      </c>
      <c r="D156" s="121">
        <v>25089</v>
      </c>
      <c r="E156" s="121">
        <v>25</v>
      </c>
      <c r="F156" s="121">
        <v>1</v>
      </c>
      <c r="G156" s="121">
        <f>E156*F156</f>
        <v>25</v>
      </c>
      <c r="H156" s="121" t="s">
        <v>639</v>
      </c>
      <c r="I156" s="129">
        <v>760</v>
      </c>
      <c r="J156" s="109">
        <f t="shared" si="15"/>
        <v>19000</v>
      </c>
      <c r="K156" s="663"/>
      <c r="L156" s="121" t="s">
        <v>630</v>
      </c>
    </row>
    <row r="157" spans="1:12" ht="135">
      <c r="A157" s="668" t="s">
        <v>816</v>
      </c>
      <c r="B157" s="675"/>
      <c r="C157" s="141" t="s">
        <v>817</v>
      </c>
      <c r="D157" s="121">
        <v>25089</v>
      </c>
      <c r="E157" s="121">
        <v>10</v>
      </c>
      <c r="F157" s="121">
        <v>1</v>
      </c>
      <c r="G157" s="121">
        <f>E157*F157</f>
        <v>10</v>
      </c>
      <c r="H157" s="121" t="s">
        <v>639</v>
      </c>
      <c r="I157" s="129">
        <v>450</v>
      </c>
      <c r="J157" s="109">
        <f t="shared" si="15"/>
        <v>4500</v>
      </c>
      <c r="K157" s="663"/>
      <c r="L157" s="121" t="s">
        <v>630</v>
      </c>
    </row>
    <row r="158" spans="1:12" ht="135">
      <c r="A158" s="668" t="s">
        <v>818</v>
      </c>
      <c r="B158" s="675"/>
      <c r="C158" s="141" t="s">
        <v>819</v>
      </c>
      <c r="D158" s="121">
        <v>25089</v>
      </c>
      <c r="E158" s="121">
        <v>15</v>
      </c>
      <c r="F158" s="121">
        <v>1</v>
      </c>
      <c r="G158" s="121">
        <f>E158*F158</f>
        <v>15</v>
      </c>
      <c r="H158" s="121" t="s">
        <v>639</v>
      </c>
      <c r="I158" s="129">
        <v>580</v>
      </c>
      <c r="J158" s="109">
        <f t="shared" si="15"/>
        <v>8700</v>
      </c>
      <c r="K158" s="659"/>
      <c r="L158" s="121" t="s">
        <v>630</v>
      </c>
    </row>
    <row r="159" spans="1:12">
      <c r="A159" s="686"/>
      <c r="B159" s="687"/>
      <c r="C159" s="687"/>
      <c r="D159" s="687"/>
      <c r="E159" s="687"/>
      <c r="F159" s="687"/>
      <c r="G159" s="687"/>
      <c r="H159" s="687"/>
      <c r="I159" s="687"/>
      <c r="J159" s="687"/>
      <c r="K159" s="687"/>
      <c r="L159" s="687"/>
    </row>
    <row r="160" spans="1:12" ht="84">
      <c r="A160" s="184" t="s">
        <v>820</v>
      </c>
      <c r="B160" s="185"/>
      <c r="C160" s="128"/>
      <c r="D160" s="121"/>
      <c r="E160" s="121"/>
      <c r="F160" s="121"/>
      <c r="G160" s="122"/>
      <c r="H160" s="121"/>
      <c r="I160" s="129"/>
      <c r="J160" s="121"/>
      <c r="K160" s="110">
        <f>SUM(K161+K165+K175+K234+K240+K248+K252+K263)</f>
        <v>896507</v>
      </c>
      <c r="L160" s="121"/>
    </row>
    <row r="161" spans="1:12">
      <c r="A161" s="676" t="s">
        <v>726</v>
      </c>
      <c r="B161" s="688"/>
      <c r="C161" s="124"/>
      <c r="D161" s="114"/>
      <c r="E161" s="114"/>
      <c r="F161" s="114"/>
      <c r="G161" s="115"/>
      <c r="H161" s="114"/>
      <c r="I161" s="125"/>
      <c r="J161" s="114"/>
      <c r="K161" s="117">
        <f>SUM(J162:J164)</f>
        <v>207360</v>
      </c>
      <c r="L161" s="114"/>
    </row>
    <row r="162" spans="1:12">
      <c r="A162" s="689" t="s">
        <v>821</v>
      </c>
      <c r="B162" s="690"/>
      <c r="C162" s="660" t="s">
        <v>638</v>
      </c>
      <c r="D162" s="121">
        <v>9946</v>
      </c>
      <c r="E162" s="121">
        <v>36</v>
      </c>
      <c r="F162" s="121">
        <v>4</v>
      </c>
      <c r="G162" s="122">
        <f t="shared" ref="G162:G164" si="16">E162*F162</f>
        <v>144</v>
      </c>
      <c r="H162" s="121" t="s">
        <v>639</v>
      </c>
      <c r="I162" s="129">
        <v>260</v>
      </c>
      <c r="J162" s="109">
        <f>I162*G162</f>
        <v>37440</v>
      </c>
      <c r="K162" s="658"/>
      <c r="L162" s="121" t="s">
        <v>630</v>
      </c>
    </row>
    <row r="163" spans="1:12">
      <c r="A163" s="689" t="s">
        <v>822</v>
      </c>
      <c r="B163" s="690"/>
      <c r="C163" s="661"/>
      <c r="D163" s="121">
        <v>9946</v>
      </c>
      <c r="E163" s="121">
        <v>102</v>
      </c>
      <c r="F163" s="121">
        <v>4</v>
      </c>
      <c r="G163" s="122">
        <f t="shared" si="16"/>
        <v>408</v>
      </c>
      <c r="H163" s="121" t="s">
        <v>639</v>
      </c>
      <c r="I163" s="129">
        <v>340</v>
      </c>
      <c r="J163" s="109">
        <f t="shared" ref="J163:J164" si="17">I163*G163</f>
        <v>138720</v>
      </c>
      <c r="K163" s="663"/>
      <c r="L163" s="121" t="s">
        <v>630</v>
      </c>
    </row>
    <row r="164" spans="1:12">
      <c r="A164" s="689" t="s">
        <v>823</v>
      </c>
      <c r="B164" s="690"/>
      <c r="C164" s="662"/>
      <c r="D164" s="121">
        <v>9946</v>
      </c>
      <c r="E164" s="121">
        <v>20</v>
      </c>
      <c r="F164" s="121">
        <v>4</v>
      </c>
      <c r="G164" s="122">
        <f t="shared" si="16"/>
        <v>80</v>
      </c>
      <c r="H164" s="121" t="s">
        <v>639</v>
      </c>
      <c r="I164" s="129">
        <v>390</v>
      </c>
      <c r="J164" s="109">
        <f t="shared" si="17"/>
        <v>31200</v>
      </c>
      <c r="K164" s="659"/>
      <c r="L164" s="121" t="s">
        <v>630</v>
      </c>
    </row>
    <row r="165" spans="1:12">
      <c r="A165" s="676" t="s">
        <v>824</v>
      </c>
      <c r="B165" s="688"/>
      <c r="C165" s="124"/>
      <c r="D165" s="114"/>
      <c r="E165" s="114"/>
      <c r="F165" s="114"/>
      <c r="G165" s="115"/>
      <c r="H165" s="114"/>
      <c r="I165" s="125"/>
      <c r="J165" s="114"/>
      <c r="K165" s="117">
        <f>SUM(J166:J174)</f>
        <v>69676</v>
      </c>
      <c r="L165" s="114"/>
    </row>
    <row r="166" spans="1:12" ht="210">
      <c r="A166" s="668" t="s">
        <v>643</v>
      </c>
      <c r="B166" s="696"/>
      <c r="C166" s="141" t="s">
        <v>729</v>
      </c>
      <c r="D166" s="121">
        <v>22721</v>
      </c>
      <c r="E166" s="121">
        <v>1</v>
      </c>
      <c r="F166" s="121">
        <v>6</v>
      </c>
      <c r="G166" s="122">
        <f t="shared" ref="G166:G174" si="18">E166*F166</f>
        <v>6</v>
      </c>
      <c r="H166" s="121" t="s">
        <v>639</v>
      </c>
      <c r="I166" s="129">
        <v>8000</v>
      </c>
      <c r="J166" s="109">
        <f>I166*G166</f>
        <v>48000</v>
      </c>
      <c r="K166" s="658"/>
      <c r="L166" s="121" t="s">
        <v>630</v>
      </c>
    </row>
    <row r="167" spans="1:12" ht="120">
      <c r="A167" s="668" t="s">
        <v>733</v>
      </c>
      <c r="B167" s="696"/>
      <c r="C167" s="141" t="s">
        <v>825</v>
      </c>
      <c r="D167" s="121">
        <v>22721</v>
      </c>
      <c r="E167" s="121">
        <v>1</v>
      </c>
      <c r="F167" s="121">
        <v>1</v>
      </c>
      <c r="G167" s="122">
        <f t="shared" si="18"/>
        <v>1</v>
      </c>
      <c r="H167" s="121" t="s">
        <v>639</v>
      </c>
      <c r="I167" s="129">
        <v>1006</v>
      </c>
      <c r="J167" s="109">
        <f>I167*G167</f>
        <v>1006</v>
      </c>
      <c r="K167" s="663"/>
      <c r="L167" s="121" t="s">
        <v>630</v>
      </c>
    </row>
    <row r="168" spans="1:12" ht="120">
      <c r="A168" s="668" t="s">
        <v>826</v>
      </c>
      <c r="B168" s="696"/>
      <c r="C168" s="141" t="s">
        <v>827</v>
      </c>
      <c r="D168" s="121">
        <v>22721</v>
      </c>
      <c r="E168" s="121">
        <v>1</v>
      </c>
      <c r="F168" s="121">
        <v>1</v>
      </c>
      <c r="G168" s="122">
        <f t="shared" si="18"/>
        <v>1</v>
      </c>
      <c r="H168" s="121" t="s">
        <v>639</v>
      </c>
      <c r="I168" s="129">
        <v>1370</v>
      </c>
      <c r="J168" s="109">
        <f>I168*G168</f>
        <v>1370</v>
      </c>
      <c r="K168" s="663"/>
      <c r="L168" s="121" t="s">
        <v>630</v>
      </c>
    </row>
    <row r="169" spans="1:12" ht="105">
      <c r="A169" s="668" t="s">
        <v>670</v>
      </c>
      <c r="B169" s="696"/>
      <c r="C169" s="141" t="s">
        <v>828</v>
      </c>
      <c r="D169" s="121">
        <v>22721</v>
      </c>
      <c r="E169" s="121">
        <v>1</v>
      </c>
      <c r="F169" s="121">
        <v>4</v>
      </c>
      <c r="G169" s="122">
        <f>E169*F169</f>
        <v>4</v>
      </c>
      <c r="H169" s="121" t="s">
        <v>639</v>
      </c>
      <c r="I169" s="129">
        <v>650</v>
      </c>
      <c r="J169" s="109">
        <f t="shared" ref="J169:J171" si="19">I169*G169</f>
        <v>2600</v>
      </c>
      <c r="K169" s="663"/>
      <c r="L169" s="121" t="s">
        <v>630</v>
      </c>
    </row>
    <row r="170" spans="1:12" ht="120">
      <c r="A170" s="668" t="s">
        <v>731</v>
      </c>
      <c r="B170" s="696"/>
      <c r="C170" s="141" t="s">
        <v>829</v>
      </c>
      <c r="D170" s="121">
        <v>22721</v>
      </c>
      <c r="E170" s="121">
        <v>1</v>
      </c>
      <c r="F170" s="121">
        <v>6</v>
      </c>
      <c r="G170" s="122">
        <f t="shared" si="18"/>
        <v>6</v>
      </c>
      <c r="H170" s="121" t="s">
        <v>639</v>
      </c>
      <c r="I170" s="129">
        <v>600</v>
      </c>
      <c r="J170" s="109">
        <f t="shared" si="19"/>
        <v>3600</v>
      </c>
      <c r="K170" s="663"/>
      <c r="L170" s="121" t="s">
        <v>630</v>
      </c>
    </row>
    <row r="171" spans="1:12" ht="120">
      <c r="A171" s="668" t="s">
        <v>830</v>
      </c>
      <c r="B171" s="696"/>
      <c r="C171" s="141" t="s">
        <v>829</v>
      </c>
      <c r="D171" s="121">
        <v>22721</v>
      </c>
      <c r="E171" s="121">
        <v>1</v>
      </c>
      <c r="F171" s="121">
        <v>3</v>
      </c>
      <c r="G171" s="122">
        <f t="shared" si="18"/>
        <v>3</v>
      </c>
      <c r="H171" s="121" t="s">
        <v>639</v>
      </c>
      <c r="I171" s="129">
        <v>600</v>
      </c>
      <c r="J171" s="109">
        <f t="shared" si="19"/>
        <v>1800</v>
      </c>
      <c r="K171" s="663"/>
      <c r="L171" s="121" t="s">
        <v>630</v>
      </c>
    </row>
    <row r="172" spans="1:12" ht="120">
      <c r="A172" s="668" t="s">
        <v>831</v>
      </c>
      <c r="B172" s="696"/>
      <c r="C172" s="141" t="s">
        <v>832</v>
      </c>
      <c r="D172" s="121">
        <v>22721</v>
      </c>
      <c r="E172" s="121">
        <v>1</v>
      </c>
      <c r="F172" s="121">
        <v>2</v>
      </c>
      <c r="G172" s="122">
        <f t="shared" si="18"/>
        <v>2</v>
      </c>
      <c r="H172" s="121" t="s">
        <v>639</v>
      </c>
      <c r="I172" s="129">
        <v>600</v>
      </c>
      <c r="J172" s="109">
        <f>I172*G172</f>
        <v>1200</v>
      </c>
      <c r="K172" s="663"/>
      <c r="L172" s="121" t="s">
        <v>630</v>
      </c>
    </row>
    <row r="173" spans="1:12" ht="120">
      <c r="A173" s="668" t="s">
        <v>833</v>
      </c>
      <c r="B173" s="696"/>
      <c r="C173" s="141" t="s">
        <v>834</v>
      </c>
      <c r="D173" s="121">
        <v>22721</v>
      </c>
      <c r="E173" s="121">
        <v>1</v>
      </c>
      <c r="F173" s="121">
        <v>2</v>
      </c>
      <c r="G173" s="122">
        <f t="shared" si="18"/>
        <v>2</v>
      </c>
      <c r="H173" s="121" t="s">
        <v>639</v>
      </c>
      <c r="I173" s="129">
        <v>3850</v>
      </c>
      <c r="J173" s="109">
        <f>I173*G173</f>
        <v>7700</v>
      </c>
      <c r="K173" s="663"/>
      <c r="L173" s="121" t="s">
        <v>630</v>
      </c>
    </row>
    <row r="174" spans="1:12" ht="120">
      <c r="A174" s="668" t="s">
        <v>742</v>
      </c>
      <c r="B174" s="696"/>
      <c r="C174" s="141" t="s">
        <v>740</v>
      </c>
      <c r="D174" s="121">
        <v>22721</v>
      </c>
      <c r="E174" s="121">
        <v>1</v>
      </c>
      <c r="F174" s="121">
        <v>2</v>
      </c>
      <c r="G174" s="122">
        <f t="shared" si="18"/>
        <v>2</v>
      </c>
      <c r="H174" s="121" t="s">
        <v>639</v>
      </c>
      <c r="I174" s="129">
        <v>1200</v>
      </c>
      <c r="J174" s="109">
        <f>I174*G174</f>
        <v>2400</v>
      </c>
      <c r="K174" s="659"/>
      <c r="L174" s="121" t="s">
        <v>630</v>
      </c>
    </row>
    <row r="175" spans="1:12">
      <c r="A175" s="676" t="s">
        <v>651</v>
      </c>
      <c r="B175" s="697"/>
      <c r="C175" s="124"/>
      <c r="D175" s="114"/>
      <c r="E175" s="114"/>
      <c r="F175" s="114"/>
      <c r="G175" s="115"/>
      <c r="H175" s="114"/>
      <c r="I175" s="125"/>
      <c r="J175" s="114"/>
      <c r="K175" s="117">
        <f>SUM(J176:J233)</f>
        <v>112398</v>
      </c>
      <c r="L175" s="114"/>
    </row>
    <row r="176" spans="1:12" ht="195">
      <c r="A176" s="118" t="s">
        <v>835</v>
      </c>
      <c r="B176" s="698" t="s">
        <v>643</v>
      </c>
      <c r="C176" s="141" t="s">
        <v>836</v>
      </c>
      <c r="D176" s="121">
        <v>22888</v>
      </c>
      <c r="E176" s="121">
        <v>1</v>
      </c>
      <c r="F176" s="121">
        <v>6</v>
      </c>
      <c r="G176" s="122">
        <f>E176*F176</f>
        <v>6</v>
      </c>
      <c r="H176" s="121" t="s">
        <v>639</v>
      </c>
      <c r="I176" s="129">
        <v>40</v>
      </c>
      <c r="J176" s="109">
        <f>I176*G176</f>
        <v>240</v>
      </c>
      <c r="K176" s="658"/>
      <c r="L176" s="121" t="s">
        <v>630</v>
      </c>
    </row>
    <row r="177" spans="1:12" ht="45">
      <c r="A177" s="126" t="s">
        <v>768</v>
      </c>
      <c r="B177" s="698"/>
      <c r="C177" s="128"/>
      <c r="D177" s="121">
        <v>22888</v>
      </c>
      <c r="E177" s="121">
        <v>6</v>
      </c>
      <c r="F177" s="121">
        <v>6</v>
      </c>
      <c r="G177" s="122">
        <f t="shared" ref="G177:G233" si="20">E177*F177</f>
        <v>36</v>
      </c>
      <c r="H177" s="121" t="s">
        <v>639</v>
      </c>
      <c r="I177" s="129">
        <v>17.5</v>
      </c>
      <c r="J177" s="109">
        <f>I177*G177</f>
        <v>630</v>
      </c>
      <c r="K177" s="663"/>
      <c r="L177" s="121" t="s">
        <v>630</v>
      </c>
    </row>
    <row r="178" spans="1:12" ht="75">
      <c r="A178" s="118" t="s">
        <v>837</v>
      </c>
      <c r="B178" s="698"/>
      <c r="C178" s="141" t="s">
        <v>746</v>
      </c>
      <c r="D178" s="121">
        <v>14591</v>
      </c>
      <c r="E178" s="121">
        <v>8</v>
      </c>
      <c r="F178" s="121">
        <v>6</v>
      </c>
      <c r="G178" s="122">
        <f t="shared" si="20"/>
        <v>48</v>
      </c>
      <c r="H178" s="121" t="s">
        <v>639</v>
      </c>
      <c r="I178" s="129">
        <v>62</v>
      </c>
      <c r="J178" s="109">
        <f>I178*G178</f>
        <v>2976</v>
      </c>
      <c r="K178" s="663"/>
      <c r="L178" s="121" t="s">
        <v>630</v>
      </c>
    </row>
    <row r="179" spans="1:12" ht="90">
      <c r="A179" s="118" t="s">
        <v>654</v>
      </c>
      <c r="B179" s="698"/>
      <c r="C179" s="141" t="s">
        <v>747</v>
      </c>
      <c r="D179" s="121">
        <v>14591</v>
      </c>
      <c r="E179" s="121">
        <v>6</v>
      </c>
      <c r="F179" s="121">
        <v>6</v>
      </c>
      <c r="G179" s="122">
        <f t="shared" si="20"/>
        <v>36</v>
      </c>
      <c r="H179" s="121" t="s">
        <v>639</v>
      </c>
      <c r="I179" s="129">
        <v>41</v>
      </c>
      <c r="J179" s="109">
        <f t="shared" ref="J179:J242" si="21">I179*G179</f>
        <v>1476</v>
      </c>
      <c r="K179" s="663"/>
      <c r="L179" s="121" t="s">
        <v>630</v>
      </c>
    </row>
    <row r="180" spans="1:12">
      <c r="A180" s="126" t="s">
        <v>838</v>
      </c>
      <c r="B180" s="698"/>
      <c r="C180" s="141" t="s">
        <v>749</v>
      </c>
      <c r="D180" s="121">
        <v>22888</v>
      </c>
      <c r="E180" s="121">
        <v>1</v>
      </c>
      <c r="F180" s="121">
        <v>6</v>
      </c>
      <c r="G180" s="122">
        <f t="shared" si="20"/>
        <v>6</v>
      </c>
      <c r="H180" s="121" t="s">
        <v>639</v>
      </c>
      <c r="I180" s="129">
        <v>25</v>
      </c>
      <c r="J180" s="109">
        <f t="shared" si="21"/>
        <v>150</v>
      </c>
      <c r="K180" s="663"/>
      <c r="L180" s="121" t="s">
        <v>630</v>
      </c>
    </row>
    <row r="181" spans="1:12" ht="30">
      <c r="A181" s="118" t="s">
        <v>750</v>
      </c>
      <c r="B181" s="698"/>
      <c r="C181" s="141" t="s">
        <v>839</v>
      </c>
      <c r="D181" s="121">
        <v>22888</v>
      </c>
      <c r="E181" s="121">
        <v>1</v>
      </c>
      <c r="F181" s="121">
        <v>6</v>
      </c>
      <c r="G181" s="122">
        <f t="shared" si="20"/>
        <v>6</v>
      </c>
      <c r="H181" s="121" t="s">
        <v>639</v>
      </c>
      <c r="I181" s="129">
        <v>140</v>
      </c>
      <c r="J181" s="109">
        <f t="shared" si="21"/>
        <v>840</v>
      </c>
      <c r="K181" s="663"/>
      <c r="L181" s="121" t="s">
        <v>630</v>
      </c>
    </row>
    <row r="182" spans="1:12" ht="30">
      <c r="A182" s="126" t="s">
        <v>763</v>
      </c>
      <c r="B182" s="698"/>
      <c r="C182" s="128" t="s">
        <v>761</v>
      </c>
      <c r="D182" s="121">
        <v>13757</v>
      </c>
      <c r="E182" s="121">
        <v>2</v>
      </c>
      <c r="F182" s="121">
        <v>6</v>
      </c>
      <c r="G182" s="122">
        <f t="shared" si="20"/>
        <v>12</v>
      </c>
      <c r="H182" s="121" t="s">
        <v>639</v>
      </c>
      <c r="I182" s="129">
        <v>150</v>
      </c>
      <c r="J182" s="109">
        <f t="shared" si="21"/>
        <v>1800</v>
      </c>
      <c r="K182" s="663"/>
      <c r="L182" s="121" t="s">
        <v>630</v>
      </c>
    </row>
    <row r="183" spans="1:12">
      <c r="A183" s="126" t="s">
        <v>840</v>
      </c>
      <c r="B183" s="698"/>
      <c r="C183" s="128"/>
      <c r="D183" s="121">
        <v>12556</v>
      </c>
      <c r="E183" s="121">
        <v>2</v>
      </c>
      <c r="F183" s="121">
        <v>6</v>
      </c>
      <c r="G183" s="122">
        <f t="shared" si="20"/>
        <v>12</v>
      </c>
      <c r="H183" s="121" t="s">
        <v>639</v>
      </c>
      <c r="I183" s="129">
        <v>180</v>
      </c>
      <c r="J183" s="109">
        <f t="shared" si="21"/>
        <v>2160</v>
      </c>
      <c r="K183" s="663"/>
      <c r="L183" s="121" t="s">
        <v>630</v>
      </c>
    </row>
    <row r="184" spans="1:12" ht="30">
      <c r="A184" s="126" t="s">
        <v>841</v>
      </c>
      <c r="B184" s="698"/>
      <c r="C184" s="128"/>
      <c r="D184" s="121">
        <v>22888</v>
      </c>
      <c r="E184" s="121">
        <v>4</v>
      </c>
      <c r="F184" s="121">
        <v>6</v>
      </c>
      <c r="G184" s="122">
        <f t="shared" si="20"/>
        <v>24</v>
      </c>
      <c r="H184" s="121" t="s">
        <v>639</v>
      </c>
      <c r="I184" s="129">
        <v>60</v>
      </c>
      <c r="J184" s="109">
        <f t="shared" si="21"/>
        <v>1440</v>
      </c>
      <c r="K184" s="663"/>
      <c r="L184" s="121" t="s">
        <v>630</v>
      </c>
    </row>
    <row r="185" spans="1:12" ht="30">
      <c r="A185" s="126" t="s">
        <v>842</v>
      </c>
      <c r="B185" s="698"/>
      <c r="C185" s="128"/>
      <c r="D185" s="121">
        <v>5452</v>
      </c>
      <c r="E185" s="121">
        <v>6</v>
      </c>
      <c r="F185" s="121">
        <v>6</v>
      </c>
      <c r="G185" s="122">
        <f t="shared" si="20"/>
        <v>36</v>
      </c>
      <c r="H185" s="121" t="s">
        <v>639</v>
      </c>
      <c r="I185" s="129">
        <v>22</v>
      </c>
      <c r="J185" s="109">
        <f>I185*G185</f>
        <v>792</v>
      </c>
      <c r="K185" s="663"/>
      <c r="L185" s="121" t="s">
        <v>630</v>
      </c>
    </row>
    <row r="186" spans="1:12">
      <c r="A186" s="118" t="s">
        <v>669</v>
      </c>
      <c r="B186" s="698"/>
      <c r="C186" s="141"/>
      <c r="D186" s="121">
        <v>12556</v>
      </c>
      <c r="E186" s="121">
        <v>3</v>
      </c>
      <c r="F186" s="121">
        <v>6</v>
      </c>
      <c r="G186" s="122">
        <f t="shared" si="20"/>
        <v>18</v>
      </c>
      <c r="H186" s="121" t="s">
        <v>639</v>
      </c>
      <c r="I186" s="129">
        <v>150</v>
      </c>
      <c r="J186" s="109">
        <f t="shared" si="21"/>
        <v>2700</v>
      </c>
      <c r="K186" s="663"/>
      <c r="L186" s="121" t="s">
        <v>630</v>
      </c>
    </row>
    <row r="187" spans="1:12" ht="90">
      <c r="A187" s="118" t="s">
        <v>843</v>
      </c>
      <c r="B187" s="698"/>
      <c r="C187" s="141" t="s">
        <v>754</v>
      </c>
      <c r="D187" s="121">
        <v>22888</v>
      </c>
      <c r="E187" s="121">
        <v>1</v>
      </c>
      <c r="F187" s="121">
        <v>6</v>
      </c>
      <c r="G187" s="122">
        <f t="shared" si="20"/>
        <v>6</v>
      </c>
      <c r="H187" s="121" t="s">
        <v>639</v>
      </c>
      <c r="I187" s="129">
        <v>1162.5</v>
      </c>
      <c r="J187" s="109">
        <f t="shared" si="21"/>
        <v>6975</v>
      </c>
      <c r="K187" s="663"/>
      <c r="L187" s="121" t="s">
        <v>630</v>
      </c>
    </row>
    <row r="188" spans="1:12" ht="75">
      <c r="A188" s="118" t="s">
        <v>844</v>
      </c>
      <c r="B188" s="698"/>
      <c r="C188" s="141" t="s">
        <v>845</v>
      </c>
      <c r="D188" s="121">
        <v>25062</v>
      </c>
      <c r="E188" s="121">
        <v>1</v>
      </c>
      <c r="F188" s="121">
        <v>6</v>
      </c>
      <c r="G188" s="122">
        <f t="shared" si="20"/>
        <v>6</v>
      </c>
      <c r="H188" s="121" t="s">
        <v>639</v>
      </c>
      <c r="I188" s="129">
        <v>615</v>
      </c>
      <c r="J188" s="109">
        <f t="shared" si="21"/>
        <v>3690</v>
      </c>
      <c r="K188" s="663"/>
      <c r="L188" s="121" t="s">
        <v>630</v>
      </c>
    </row>
    <row r="189" spans="1:12" ht="45">
      <c r="A189" s="118" t="s">
        <v>846</v>
      </c>
      <c r="B189" s="698"/>
      <c r="C189" s="141"/>
      <c r="D189" s="121">
        <v>22888</v>
      </c>
      <c r="E189" s="121">
        <v>300</v>
      </c>
      <c r="F189" s="121">
        <v>6</v>
      </c>
      <c r="G189" s="122">
        <f t="shared" si="20"/>
        <v>1800</v>
      </c>
      <c r="H189" s="121" t="s">
        <v>639</v>
      </c>
      <c r="I189" s="129">
        <v>17.5</v>
      </c>
      <c r="J189" s="109">
        <f t="shared" si="21"/>
        <v>31500</v>
      </c>
      <c r="K189" s="663"/>
      <c r="L189" s="121" t="s">
        <v>630</v>
      </c>
    </row>
    <row r="190" spans="1:12" ht="30">
      <c r="A190" s="118" t="s">
        <v>758</v>
      </c>
      <c r="B190" s="698"/>
      <c r="C190" s="141" t="s">
        <v>759</v>
      </c>
      <c r="D190" s="121">
        <v>12556</v>
      </c>
      <c r="E190" s="121">
        <v>2</v>
      </c>
      <c r="F190" s="121">
        <v>6</v>
      </c>
      <c r="G190" s="122">
        <f t="shared" si="20"/>
        <v>12</v>
      </c>
      <c r="H190" s="121" t="s">
        <v>639</v>
      </c>
      <c r="I190" s="129">
        <v>30</v>
      </c>
      <c r="J190" s="109">
        <f t="shared" si="21"/>
        <v>360</v>
      </c>
      <c r="K190" s="663"/>
      <c r="L190" s="121" t="s">
        <v>630</v>
      </c>
    </row>
    <row r="191" spans="1:12" ht="270">
      <c r="A191" s="118" t="s">
        <v>847</v>
      </c>
      <c r="B191" s="698"/>
      <c r="C191" s="141" t="s">
        <v>848</v>
      </c>
      <c r="D191" s="121">
        <v>12556</v>
      </c>
      <c r="E191" s="121">
        <v>1</v>
      </c>
      <c r="F191" s="121">
        <v>6</v>
      </c>
      <c r="G191" s="122">
        <f t="shared" si="20"/>
        <v>6</v>
      </c>
      <c r="H191" s="121" t="s">
        <v>639</v>
      </c>
      <c r="I191" s="129">
        <v>1200</v>
      </c>
      <c r="J191" s="109">
        <f t="shared" si="21"/>
        <v>7200</v>
      </c>
      <c r="K191" s="663"/>
      <c r="L191" s="121" t="s">
        <v>630</v>
      </c>
    </row>
    <row r="192" spans="1:12" ht="75">
      <c r="A192" s="118" t="s">
        <v>837</v>
      </c>
      <c r="B192" s="698" t="s">
        <v>849</v>
      </c>
      <c r="C192" s="141" t="s">
        <v>762</v>
      </c>
      <c r="D192" s="121">
        <v>14591</v>
      </c>
      <c r="E192" s="121">
        <v>2</v>
      </c>
      <c r="F192" s="121">
        <v>1</v>
      </c>
      <c r="G192" s="122">
        <f t="shared" si="20"/>
        <v>2</v>
      </c>
      <c r="H192" s="121" t="s">
        <v>639</v>
      </c>
      <c r="I192" s="129">
        <v>62</v>
      </c>
      <c r="J192" s="109">
        <f t="shared" si="21"/>
        <v>124</v>
      </c>
      <c r="K192" s="663"/>
      <c r="L192" s="121" t="s">
        <v>630</v>
      </c>
    </row>
    <row r="193" spans="1:12" ht="30">
      <c r="A193" s="118" t="s">
        <v>763</v>
      </c>
      <c r="B193" s="698"/>
      <c r="C193" s="128"/>
      <c r="D193" s="121">
        <v>13757</v>
      </c>
      <c r="E193" s="121">
        <v>1</v>
      </c>
      <c r="F193" s="121">
        <v>1</v>
      </c>
      <c r="G193" s="122">
        <f t="shared" si="20"/>
        <v>1</v>
      </c>
      <c r="H193" s="121" t="s">
        <v>639</v>
      </c>
      <c r="I193" s="129">
        <v>150</v>
      </c>
      <c r="J193" s="109">
        <f t="shared" si="21"/>
        <v>150</v>
      </c>
      <c r="K193" s="663"/>
      <c r="L193" s="121" t="s">
        <v>630</v>
      </c>
    </row>
    <row r="194" spans="1:12">
      <c r="A194" s="118" t="s">
        <v>850</v>
      </c>
      <c r="B194" s="698"/>
      <c r="C194" s="128"/>
      <c r="D194" s="121">
        <v>20656</v>
      </c>
      <c r="E194" s="121">
        <v>1</v>
      </c>
      <c r="F194" s="121">
        <v>1</v>
      </c>
      <c r="G194" s="122">
        <f t="shared" si="20"/>
        <v>1</v>
      </c>
      <c r="H194" s="121" t="s">
        <v>639</v>
      </c>
      <c r="I194" s="129">
        <v>160</v>
      </c>
      <c r="J194" s="109">
        <f t="shared" si="21"/>
        <v>160</v>
      </c>
      <c r="K194" s="663"/>
      <c r="L194" s="121" t="s">
        <v>630</v>
      </c>
    </row>
    <row r="195" spans="1:12">
      <c r="A195" s="118" t="s">
        <v>669</v>
      </c>
      <c r="B195" s="698"/>
      <c r="C195" s="128"/>
      <c r="D195" s="121">
        <v>12556</v>
      </c>
      <c r="E195" s="121">
        <v>1</v>
      </c>
      <c r="F195" s="121">
        <v>1</v>
      </c>
      <c r="G195" s="122">
        <f t="shared" si="20"/>
        <v>1</v>
      </c>
      <c r="H195" s="121" t="s">
        <v>639</v>
      </c>
      <c r="I195" s="129">
        <v>150</v>
      </c>
      <c r="J195" s="109">
        <f t="shared" si="21"/>
        <v>150</v>
      </c>
      <c r="K195" s="663"/>
      <c r="L195" s="121" t="s">
        <v>630</v>
      </c>
    </row>
    <row r="196" spans="1:12" ht="45">
      <c r="A196" s="118" t="s">
        <v>846</v>
      </c>
      <c r="B196" s="698"/>
      <c r="C196" s="128"/>
      <c r="D196" s="121">
        <v>22888</v>
      </c>
      <c r="E196" s="121">
        <v>1</v>
      </c>
      <c r="F196" s="121">
        <v>1</v>
      </c>
      <c r="G196" s="122">
        <f t="shared" si="20"/>
        <v>1</v>
      </c>
      <c r="H196" s="121" t="s">
        <v>639</v>
      </c>
      <c r="I196" s="129">
        <v>20</v>
      </c>
      <c r="J196" s="109">
        <f t="shared" si="21"/>
        <v>20</v>
      </c>
      <c r="K196" s="663"/>
      <c r="L196" s="121" t="s">
        <v>630</v>
      </c>
    </row>
    <row r="197" spans="1:12" ht="270">
      <c r="A197" s="118" t="s">
        <v>847</v>
      </c>
      <c r="B197" s="698"/>
      <c r="C197" s="141" t="s">
        <v>848</v>
      </c>
      <c r="D197" s="121">
        <v>12556</v>
      </c>
      <c r="E197" s="121">
        <v>1</v>
      </c>
      <c r="F197" s="121">
        <v>1</v>
      </c>
      <c r="G197" s="122">
        <f t="shared" si="20"/>
        <v>1</v>
      </c>
      <c r="H197" s="121" t="s">
        <v>639</v>
      </c>
      <c r="I197" s="129">
        <v>1200</v>
      </c>
      <c r="J197" s="109">
        <f t="shared" si="21"/>
        <v>1200</v>
      </c>
      <c r="K197" s="663"/>
      <c r="L197" s="121" t="s">
        <v>630</v>
      </c>
    </row>
    <row r="198" spans="1:12" ht="75">
      <c r="A198" s="118" t="s">
        <v>745</v>
      </c>
      <c r="B198" s="664" t="s">
        <v>851</v>
      </c>
      <c r="C198" s="141" t="s">
        <v>762</v>
      </c>
      <c r="D198" s="121">
        <v>14591</v>
      </c>
      <c r="E198" s="121">
        <v>3</v>
      </c>
      <c r="F198" s="121">
        <v>1</v>
      </c>
      <c r="G198" s="122">
        <f t="shared" si="20"/>
        <v>3</v>
      </c>
      <c r="H198" s="121" t="s">
        <v>639</v>
      </c>
      <c r="I198" s="129">
        <v>62</v>
      </c>
      <c r="J198" s="109">
        <f t="shared" si="21"/>
        <v>186</v>
      </c>
      <c r="K198" s="663"/>
      <c r="L198" s="121" t="s">
        <v>630</v>
      </c>
    </row>
    <row r="199" spans="1:12" ht="30">
      <c r="A199" s="118" t="s">
        <v>763</v>
      </c>
      <c r="B199" s="665"/>
      <c r="C199" s="141"/>
      <c r="D199" s="121">
        <v>13757</v>
      </c>
      <c r="E199" s="121">
        <v>1</v>
      </c>
      <c r="F199" s="121">
        <v>1</v>
      </c>
      <c r="G199" s="122">
        <f t="shared" si="20"/>
        <v>1</v>
      </c>
      <c r="H199" s="121" t="s">
        <v>639</v>
      </c>
      <c r="I199" s="129">
        <v>150</v>
      </c>
      <c r="J199" s="109">
        <f t="shared" si="21"/>
        <v>150</v>
      </c>
      <c r="K199" s="663"/>
      <c r="L199" s="121" t="s">
        <v>630</v>
      </c>
    </row>
    <row r="200" spans="1:12">
      <c r="A200" s="118" t="s">
        <v>850</v>
      </c>
      <c r="B200" s="665"/>
      <c r="C200" s="128"/>
      <c r="D200" s="121">
        <v>20656</v>
      </c>
      <c r="E200" s="121">
        <v>1</v>
      </c>
      <c r="F200" s="121">
        <v>1</v>
      </c>
      <c r="G200" s="122">
        <f t="shared" si="20"/>
        <v>1</v>
      </c>
      <c r="H200" s="121"/>
      <c r="I200" s="129">
        <v>160</v>
      </c>
      <c r="J200" s="109">
        <f t="shared" si="21"/>
        <v>160</v>
      </c>
      <c r="K200" s="663"/>
      <c r="L200" s="121" t="s">
        <v>630</v>
      </c>
    </row>
    <row r="201" spans="1:12">
      <c r="A201" s="118" t="s">
        <v>669</v>
      </c>
      <c r="B201" s="665"/>
      <c r="C201" s="141"/>
      <c r="D201" s="121">
        <v>12556</v>
      </c>
      <c r="E201" s="121">
        <v>1</v>
      </c>
      <c r="F201" s="121">
        <v>1</v>
      </c>
      <c r="G201" s="122">
        <f t="shared" si="20"/>
        <v>1</v>
      </c>
      <c r="H201" s="121" t="s">
        <v>639</v>
      </c>
      <c r="I201" s="129">
        <v>150</v>
      </c>
      <c r="J201" s="109">
        <f t="shared" si="21"/>
        <v>150</v>
      </c>
      <c r="K201" s="663"/>
      <c r="L201" s="121" t="s">
        <v>630</v>
      </c>
    </row>
    <row r="202" spans="1:12" ht="30">
      <c r="A202" s="118" t="s">
        <v>852</v>
      </c>
      <c r="B202" s="665"/>
      <c r="C202" s="128"/>
      <c r="D202" s="121">
        <v>22888</v>
      </c>
      <c r="E202" s="121">
        <v>70</v>
      </c>
      <c r="F202" s="121">
        <v>1</v>
      </c>
      <c r="G202" s="122">
        <f t="shared" si="20"/>
        <v>70</v>
      </c>
      <c r="H202" s="121" t="s">
        <v>639</v>
      </c>
      <c r="I202" s="129">
        <v>15</v>
      </c>
      <c r="J202" s="109">
        <f t="shared" si="21"/>
        <v>1050</v>
      </c>
      <c r="K202" s="663"/>
      <c r="L202" s="121" t="s">
        <v>630</v>
      </c>
    </row>
    <row r="203" spans="1:12" ht="45">
      <c r="A203" s="118" t="s">
        <v>846</v>
      </c>
      <c r="B203" s="665"/>
      <c r="C203" s="128"/>
      <c r="D203" s="121">
        <v>22888</v>
      </c>
      <c r="E203" s="121">
        <v>1</v>
      </c>
      <c r="F203" s="121">
        <v>1</v>
      </c>
      <c r="G203" s="122">
        <f t="shared" si="20"/>
        <v>1</v>
      </c>
      <c r="H203" s="121" t="s">
        <v>639</v>
      </c>
      <c r="I203" s="129">
        <v>20</v>
      </c>
      <c r="J203" s="109">
        <f t="shared" si="21"/>
        <v>20</v>
      </c>
      <c r="K203" s="663"/>
      <c r="L203" s="121" t="s">
        <v>630</v>
      </c>
    </row>
    <row r="204" spans="1:12" ht="270">
      <c r="A204" s="118" t="s">
        <v>847</v>
      </c>
      <c r="B204" s="666"/>
      <c r="C204" s="141" t="s">
        <v>848</v>
      </c>
      <c r="D204" s="121">
        <v>12556</v>
      </c>
      <c r="E204" s="121">
        <v>1</v>
      </c>
      <c r="F204" s="121">
        <v>1</v>
      </c>
      <c r="G204" s="122">
        <f t="shared" si="20"/>
        <v>1</v>
      </c>
      <c r="H204" s="121" t="s">
        <v>639</v>
      </c>
      <c r="I204" s="129">
        <v>1200</v>
      </c>
      <c r="J204" s="109">
        <f t="shared" si="21"/>
        <v>1200</v>
      </c>
      <c r="K204" s="663"/>
      <c r="L204" s="121" t="s">
        <v>630</v>
      </c>
    </row>
    <row r="205" spans="1:12" ht="30">
      <c r="A205" s="118" t="s">
        <v>658</v>
      </c>
      <c r="B205" s="664" t="s">
        <v>760</v>
      </c>
      <c r="C205" s="128"/>
      <c r="D205" s="121">
        <v>13757</v>
      </c>
      <c r="E205" s="121">
        <v>1</v>
      </c>
      <c r="F205" s="121">
        <v>2</v>
      </c>
      <c r="G205" s="122">
        <f t="shared" si="20"/>
        <v>2</v>
      </c>
      <c r="H205" s="121" t="s">
        <v>639</v>
      </c>
      <c r="I205" s="129">
        <v>150</v>
      </c>
      <c r="J205" s="109">
        <f t="shared" si="21"/>
        <v>300</v>
      </c>
      <c r="K205" s="663"/>
      <c r="L205" s="121" t="s">
        <v>630</v>
      </c>
    </row>
    <row r="206" spans="1:12">
      <c r="A206" s="118" t="s">
        <v>662</v>
      </c>
      <c r="B206" s="665"/>
      <c r="C206" s="186"/>
      <c r="D206" s="187">
        <v>12556</v>
      </c>
      <c r="E206" s="187">
        <v>1</v>
      </c>
      <c r="F206" s="187">
        <v>2</v>
      </c>
      <c r="G206" s="188">
        <f t="shared" si="20"/>
        <v>2</v>
      </c>
      <c r="H206" s="187" t="s">
        <v>639</v>
      </c>
      <c r="I206" s="129">
        <v>150</v>
      </c>
      <c r="J206" s="129">
        <f t="shared" si="21"/>
        <v>300</v>
      </c>
      <c r="K206" s="663"/>
      <c r="L206" s="121" t="s">
        <v>630</v>
      </c>
    </row>
    <row r="207" spans="1:12" ht="75">
      <c r="A207" s="118" t="s">
        <v>745</v>
      </c>
      <c r="B207" s="666"/>
      <c r="C207" s="141" t="s">
        <v>746</v>
      </c>
      <c r="D207" s="121">
        <v>14591</v>
      </c>
      <c r="E207" s="121">
        <v>2</v>
      </c>
      <c r="F207" s="121">
        <v>2</v>
      </c>
      <c r="G207" s="122">
        <f t="shared" si="20"/>
        <v>4</v>
      </c>
      <c r="H207" s="121" t="s">
        <v>639</v>
      </c>
      <c r="I207" s="129">
        <v>62</v>
      </c>
      <c r="J207" s="109">
        <f t="shared" si="21"/>
        <v>248</v>
      </c>
      <c r="K207" s="663"/>
      <c r="L207" s="121" t="s">
        <v>630</v>
      </c>
    </row>
    <row r="208" spans="1:12">
      <c r="A208" s="118" t="s">
        <v>669</v>
      </c>
      <c r="B208" s="698" t="s">
        <v>647</v>
      </c>
      <c r="C208" s="141"/>
      <c r="D208" s="121">
        <v>12556</v>
      </c>
      <c r="E208" s="121">
        <v>3</v>
      </c>
      <c r="F208" s="121">
        <v>6</v>
      </c>
      <c r="G208" s="122">
        <f t="shared" si="20"/>
        <v>18</v>
      </c>
      <c r="H208" s="121" t="s">
        <v>639</v>
      </c>
      <c r="I208" s="129">
        <v>150</v>
      </c>
      <c r="J208" s="109">
        <f t="shared" si="21"/>
        <v>2700</v>
      </c>
      <c r="K208" s="663"/>
      <c r="L208" s="121" t="s">
        <v>630</v>
      </c>
    </row>
    <row r="209" spans="1:12" ht="30">
      <c r="A209" s="118" t="s">
        <v>853</v>
      </c>
      <c r="B209" s="698"/>
      <c r="C209" s="141" t="s">
        <v>854</v>
      </c>
      <c r="D209" s="121">
        <v>22888</v>
      </c>
      <c r="E209" s="121">
        <v>1</v>
      </c>
      <c r="F209" s="121">
        <v>6</v>
      </c>
      <c r="G209" s="122">
        <f t="shared" si="20"/>
        <v>6</v>
      </c>
      <c r="H209" s="121" t="s">
        <v>639</v>
      </c>
      <c r="I209" s="129">
        <v>225</v>
      </c>
      <c r="J209" s="109">
        <f t="shared" si="21"/>
        <v>1350</v>
      </c>
      <c r="K209" s="663"/>
      <c r="L209" s="121" t="s">
        <v>630</v>
      </c>
    </row>
    <row r="210" spans="1:12" ht="60">
      <c r="A210" s="118" t="s">
        <v>855</v>
      </c>
      <c r="B210" s="698"/>
      <c r="C210" s="141"/>
      <c r="D210" s="121">
        <v>22888</v>
      </c>
      <c r="E210" s="121">
        <v>12</v>
      </c>
      <c r="F210" s="121">
        <v>6</v>
      </c>
      <c r="G210" s="122">
        <f t="shared" si="20"/>
        <v>72</v>
      </c>
      <c r="H210" s="121" t="s">
        <v>639</v>
      </c>
      <c r="I210" s="129">
        <v>20</v>
      </c>
      <c r="J210" s="109">
        <f t="shared" si="21"/>
        <v>1440</v>
      </c>
      <c r="K210" s="663"/>
      <c r="L210" s="121" t="s">
        <v>630</v>
      </c>
    </row>
    <row r="211" spans="1:12" ht="60">
      <c r="A211" s="118" t="s">
        <v>856</v>
      </c>
      <c r="B211" s="698"/>
      <c r="C211" s="141" t="s">
        <v>857</v>
      </c>
      <c r="D211" s="121">
        <v>12556</v>
      </c>
      <c r="E211" s="121">
        <v>2</v>
      </c>
      <c r="F211" s="121">
        <v>6</v>
      </c>
      <c r="G211" s="122">
        <f t="shared" si="20"/>
        <v>12</v>
      </c>
      <c r="H211" s="121" t="s">
        <v>639</v>
      </c>
      <c r="I211" s="129">
        <v>268</v>
      </c>
      <c r="J211" s="109">
        <f t="shared" si="21"/>
        <v>3216</v>
      </c>
      <c r="K211" s="663"/>
      <c r="L211" s="121" t="s">
        <v>630</v>
      </c>
    </row>
    <row r="212" spans="1:12">
      <c r="A212" s="118" t="s">
        <v>662</v>
      </c>
      <c r="B212" s="698" t="s">
        <v>732</v>
      </c>
      <c r="C212" s="141"/>
      <c r="D212" s="121">
        <v>12556</v>
      </c>
      <c r="E212" s="121">
        <v>2</v>
      </c>
      <c r="F212" s="121">
        <v>3</v>
      </c>
      <c r="G212" s="122">
        <f t="shared" si="20"/>
        <v>6</v>
      </c>
      <c r="H212" s="121" t="s">
        <v>639</v>
      </c>
      <c r="I212" s="129">
        <v>150</v>
      </c>
      <c r="J212" s="109">
        <f t="shared" si="21"/>
        <v>900</v>
      </c>
      <c r="K212" s="663"/>
      <c r="L212" s="121" t="s">
        <v>630</v>
      </c>
    </row>
    <row r="213" spans="1:12" ht="30">
      <c r="A213" s="118" t="s">
        <v>858</v>
      </c>
      <c r="B213" s="698"/>
      <c r="C213" s="141" t="s">
        <v>859</v>
      </c>
      <c r="D213" s="121">
        <v>22888</v>
      </c>
      <c r="E213" s="121">
        <v>1</v>
      </c>
      <c r="F213" s="121">
        <v>3</v>
      </c>
      <c r="G213" s="122">
        <f t="shared" si="20"/>
        <v>3</v>
      </c>
      <c r="H213" s="121" t="s">
        <v>639</v>
      </c>
      <c r="I213" s="129">
        <v>90</v>
      </c>
      <c r="J213" s="109">
        <f t="shared" si="21"/>
        <v>270</v>
      </c>
      <c r="K213" s="663"/>
      <c r="L213" s="121" t="s">
        <v>630</v>
      </c>
    </row>
    <row r="214" spans="1:12" ht="45">
      <c r="A214" s="118" t="s">
        <v>860</v>
      </c>
      <c r="B214" s="698"/>
      <c r="C214" s="141"/>
      <c r="D214" s="121">
        <v>22888</v>
      </c>
      <c r="E214" s="121">
        <v>12</v>
      </c>
      <c r="F214" s="121">
        <v>3</v>
      </c>
      <c r="G214" s="122">
        <f t="shared" si="20"/>
        <v>36</v>
      </c>
      <c r="H214" s="121" t="s">
        <v>639</v>
      </c>
      <c r="I214" s="129">
        <v>17.5</v>
      </c>
      <c r="J214" s="109">
        <f t="shared" si="21"/>
        <v>630</v>
      </c>
      <c r="K214" s="663"/>
      <c r="L214" s="121" t="s">
        <v>630</v>
      </c>
    </row>
    <row r="215" spans="1:12" ht="30">
      <c r="A215" s="189" t="s">
        <v>861</v>
      </c>
      <c r="B215" s="698"/>
      <c r="C215" s="141"/>
      <c r="D215" s="121">
        <v>22888</v>
      </c>
      <c r="E215" s="121">
        <v>1</v>
      </c>
      <c r="F215" s="121">
        <v>3</v>
      </c>
      <c r="G215" s="122">
        <f t="shared" si="20"/>
        <v>3</v>
      </c>
      <c r="H215" s="121" t="s">
        <v>639</v>
      </c>
      <c r="I215" s="129">
        <v>120</v>
      </c>
      <c r="J215" s="109">
        <f t="shared" si="21"/>
        <v>360</v>
      </c>
      <c r="K215" s="663"/>
      <c r="L215" s="121" t="s">
        <v>630</v>
      </c>
    </row>
    <row r="216" spans="1:12" ht="45">
      <c r="A216" s="118" t="s">
        <v>846</v>
      </c>
      <c r="B216" s="698"/>
      <c r="C216" s="141"/>
      <c r="D216" s="121">
        <v>22888</v>
      </c>
      <c r="E216" s="121">
        <v>1</v>
      </c>
      <c r="F216" s="121">
        <v>3</v>
      </c>
      <c r="G216" s="122">
        <f t="shared" si="20"/>
        <v>3</v>
      </c>
      <c r="H216" s="121" t="s">
        <v>639</v>
      </c>
      <c r="I216" s="129">
        <v>20</v>
      </c>
      <c r="J216" s="109">
        <f t="shared" si="21"/>
        <v>60</v>
      </c>
      <c r="K216" s="663"/>
      <c r="L216" s="121" t="s">
        <v>630</v>
      </c>
    </row>
    <row r="217" spans="1:12" ht="90">
      <c r="A217" s="118" t="s">
        <v>862</v>
      </c>
      <c r="B217" s="698"/>
      <c r="C217" s="141" t="s">
        <v>767</v>
      </c>
      <c r="D217" s="121">
        <v>12556</v>
      </c>
      <c r="E217" s="121">
        <v>1</v>
      </c>
      <c r="F217" s="121">
        <v>3</v>
      </c>
      <c r="G217" s="122">
        <f t="shared" si="20"/>
        <v>3</v>
      </c>
      <c r="H217" s="121" t="s">
        <v>639</v>
      </c>
      <c r="I217" s="129">
        <v>268</v>
      </c>
      <c r="J217" s="109">
        <f t="shared" si="21"/>
        <v>804</v>
      </c>
      <c r="K217" s="663"/>
      <c r="L217" s="121" t="s">
        <v>630</v>
      </c>
    </row>
    <row r="218" spans="1:12">
      <c r="A218" s="118" t="s">
        <v>772</v>
      </c>
      <c r="B218" s="698" t="s">
        <v>833</v>
      </c>
      <c r="C218" s="141"/>
      <c r="D218" s="121"/>
      <c r="E218" s="121">
        <v>1</v>
      </c>
      <c r="F218" s="121">
        <v>1</v>
      </c>
      <c r="G218" s="122">
        <f t="shared" si="20"/>
        <v>1</v>
      </c>
      <c r="H218" s="121" t="s">
        <v>639</v>
      </c>
      <c r="I218" s="129">
        <v>6000</v>
      </c>
      <c r="J218" s="109">
        <f t="shared" si="21"/>
        <v>6000</v>
      </c>
      <c r="K218" s="663"/>
      <c r="L218" s="121" t="s">
        <v>630</v>
      </c>
    </row>
    <row r="219" spans="1:12" ht="90">
      <c r="A219" s="118" t="s">
        <v>844</v>
      </c>
      <c r="B219" s="698"/>
      <c r="C219" s="141" t="s">
        <v>863</v>
      </c>
      <c r="D219" s="121">
        <v>25062</v>
      </c>
      <c r="E219" s="121">
        <v>1</v>
      </c>
      <c r="F219" s="121">
        <v>1</v>
      </c>
      <c r="G219" s="122">
        <f t="shared" si="20"/>
        <v>1</v>
      </c>
      <c r="H219" s="121" t="s">
        <v>639</v>
      </c>
      <c r="I219" s="129">
        <v>615</v>
      </c>
      <c r="J219" s="109">
        <f t="shared" si="21"/>
        <v>615</v>
      </c>
      <c r="K219" s="663"/>
      <c r="L219" s="121" t="s">
        <v>630</v>
      </c>
    </row>
    <row r="220" spans="1:12" ht="75">
      <c r="A220" s="118" t="s">
        <v>837</v>
      </c>
      <c r="B220" s="698"/>
      <c r="C220" s="141" t="s">
        <v>864</v>
      </c>
      <c r="D220" s="121">
        <v>14591</v>
      </c>
      <c r="E220" s="121">
        <v>2</v>
      </c>
      <c r="F220" s="121">
        <v>1</v>
      </c>
      <c r="G220" s="122">
        <f t="shared" si="20"/>
        <v>2</v>
      </c>
      <c r="H220" s="121" t="s">
        <v>639</v>
      </c>
      <c r="I220" s="129">
        <v>62</v>
      </c>
      <c r="J220" s="109">
        <f t="shared" si="21"/>
        <v>124</v>
      </c>
      <c r="K220" s="663"/>
      <c r="L220" s="121" t="s">
        <v>630</v>
      </c>
    </row>
    <row r="221" spans="1:12" ht="30">
      <c r="A221" s="118" t="s">
        <v>865</v>
      </c>
      <c r="B221" s="698"/>
      <c r="C221" s="141" t="s">
        <v>751</v>
      </c>
      <c r="D221" s="121">
        <v>22888</v>
      </c>
      <c r="E221" s="121">
        <v>1</v>
      </c>
      <c r="F221" s="121">
        <v>1</v>
      </c>
      <c r="G221" s="122">
        <f t="shared" si="20"/>
        <v>1</v>
      </c>
      <c r="H221" s="121" t="s">
        <v>639</v>
      </c>
      <c r="I221" s="129">
        <v>140</v>
      </c>
      <c r="J221" s="109">
        <f t="shared" si="21"/>
        <v>140</v>
      </c>
      <c r="K221" s="663"/>
      <c r="L221" s="121" t="s">
        <v>630</v>
      </c>
    </row>
    <row r="222" spans="1:12" ht="75">
      <c r="A222" s="118" t="s">
        <v>866</v>
      </c>
      <c r="B222" s="698"/>
      <c r="C222" s="141" t="s">
        <v>867</v>
      </c>
      <c r="D222" s="121">
        <v>12556</v>
      </c>
      <c r="E222" s="121">
        <v>1</v>
      </c>
      <c r="F222" s="121">
        <v>1</v>
      </c>
      <c r="G222" s="122">
        <f t="shared" si="20"/>
        <v>1</v>
      </c>
      <c r="H222" s="121" t="s">
        <v>639</v>
      </c>
      <c r="I222" s="129">
        <v>1500</v>
      </c>
      <c r="J222" s="109">
        <f t="shared" si="21"/>
        <v>1500</v>
      </c>
      <c r="K222" s="663"/>
      <c r="L222" s="121" t="s">
        <v>630</v>
      </c>
    </row>
    <row r="223" spans="1:12" ht="30">
      <c r="A223" s="144" t="s">
        <v>841</v>
      </c>
      <c r="B223" s="699"/>
      <c r="C223" s="128"/>
      <c r="D223" s="121">
        <v>22888</v>
      </c>
      <c r="E223" s="121">
        <v>4</v>
      </c>
      <c r="F223" s="121">
        <v>1</v>
      </c>
      <c r="G223" s="122">
        <f t="shared" si="20"/>
        <v>4</v>
      </c>
      <c r="H223" s="121" t="s">
        <v>639</v>
      </c>
      <c r="I223" s="129">
        <v>15</v>
      </c>
      <c r="J223" s="109">
        <f t="shared" si="21"/>
        <v>60</v>
      </c>
      <c r="K223" s="663"/>
      <c r="L223" s="121" t="s">
        <v>630</v>
      </c>
    </row>
    <row r="224" spans="1:12" ht="75">
      <c r="A224" s="701" t="s">
        <v>773</v>
      </c>
      <c r="B224" s="701"/>
      <c r="C224" s="141" t="s">
        <v>868</v>
      </c>
      <c r="D224" s="121">
        <v>26344</v>
      </c>
      <c r="E224" s="121">
        <v>1</v>
      </c>
      <c r="F224" s="121">
        <v>4</v>
      </c>
      <c r="G224" s="122">
        <v>3</v>
      </c>
      <c r="H224" s="121" t="s">
        <v>639</v>
      </c>
      <c r="I224" s="129">
        <v>1400</v>
      </c>
      <c r="J224" s="109">
        <f t="shared" si="21"/>
        <v>4200</v>
      </c>
      <c r="K224" s="663"/>
      <c r="L224" s="121" t="s">
        <v>630</v>
      </c>
    </row>
    <row r="225" spans="1:12" ht="75">
      <c r="A225" s="701" t="s">
        <v>869</v>
      </c>
      <c r="B225" s="701"/>
      <c r="C225" s="141" t="s">
        <v>870</v>
      </c>
      <c r="D225" s="121">
        <v>26344</v>
      </c>
      <c r="E225" s="121">
        <v>1</v>
      </c>
      <c r="F225" s="121">
        <v>3</v>
      </c>
      <c r="G225" s="122">
        <f t="shared" si="20"/>
        <v>3</v>
      </c>
      <c r="H225" s="121" t="s">
        <v>639</v>
      </c>
      <c r="I225" s="129">
        <v>1400</v>
      </c>
      <c r="J225" s="109">
        <f t="shared" si="21"/>
        <v>4200</v>
      </c>
      <c r="K225" s="663"/>
      <c r="L225" s="121" t="s">
        <v>630</v>
      </c>
    </row>
    <row r="226" spans="1:12">
      <c r="A226" s="701" t="s">
        <v>871</v>
      </c>
      <c r="B226" s="701"/>
      <c r="C226" s="141"/>
      <c r="D226" s="121">
        <v>12556</v>
      </c>
      <c r="E226" s="121">
        <v>3</v>
      </c>
      <c r="F226" s="121">
        <v>2</v>
      </c>
      <c r="G226" s="122">
        <f t="shared" si="20"/>
        <v>6</v>
      </c>
      <c r="H226" s="121" t="s">
        <v>639</v>
      </c>
      <c r="I226" s="129">
        <v>150</v>
      </c>
      <c r="J226" s="109">
        <f t="shared" si="21"/>
        <v>900</v>
      </c>
      <c r="K226" s="663"/>
      <c r="L226" s="121" t="s">
        <v>630</v>
      </c>
    </row>
    <row r="227" spans="1:12">
      <c r="A227" s="702" t="s">
        <v>776</v>
      </c>
      <c r="B227" s="703"/>
      <c r="C227" s="128"/>
      <c r="D227" s="121">
        <v>12556</v>
      </c>
      <c r="E227" s="121">
        <v>3</v>
      </c>
      <c r="F227" s="121">
        <v>2</v>
      </c>
      <c r="G227" s="122">
        <f t="shared" si="20"/>
        <v>6</v>
      </c>
      <c r="H227" s="121" t="s">
        <v>639</v>
      </c>
      <c r="I227" s="129">
        <v>35</v>
      </c>
      <c r="J227" s="109">
        <f t="shared" si="21"/>
        <v>210</v>
      </c>
      <c r="K227" s="663"/>
      <c r="L227" s="121" t="s">
        <v>630</v>
      </c>
    </row>
    <row r="228" spans="1:12" ht="75">
      <c r="A228" s="668" t="s">
        <v>785</v>
      </c>
      <c r="B228" s="696"/>
      <c r="C228" s="141" t="s">
        <v>778</v>
      </c>
      <c r="D228" s="121">
        <v>17019</v>
      </c>
      <c r="E228" s="121">
        <v>2</v>
      </c>
      <c r="F228" s="121">
        <v>3</v>
      </c>
      <c r="G228" s="122">
        <f t="shared" si="20"/>
        <v>6</v>
      </c>
      <c r="H228" s="121" t="s">
        <v>639</v>
      </c>
      <c r="I228" s="129">
        <v>180</v>
      </c>
      <c r="J228" s="109">
        <f t="shared" si="21"/>
        <v>1080</v>
      </c>
      <c r="K228" s="663"/>
      <c r="L228" s="121" t="s">
        <v>630</v>
      </c>
    </row>
    <row r="229" spans="1:12" ht="90">
      <c r="A229" s="668" t="s">
        <v>779</v>
      </c>
      <c r="B229" s="696"/>
      <c r="C229" s="141" t="s">
        <v>780</v>
      </c>
      <c r="D229" s="121">
        <v>17019</v>
      </c>
      <c r="E229" s="121">
        <v>2</v>
      </c>
      <c r="F229" s="121">
        <v>3</v>
      </c>
      <c r="G229" s="122">
        <f t="shared" si="20"/>
        <v>6</v>
      </c>
      <c r="H229" s="121" t="s">
        <v>639</v>
      </c>
      <c r="I229" s="129">
        <v>187</v>
      </c>
      <c r="J229" s="109">
        <f t="shared" si="21"/>
        <v>1122</v>
      </c>
      <c r="K229" s="663"/>
      <c r="L229" s="121" t="s">
        <v>630</v>
      </c>
    </row>
    <row r="230" spans="1:12" ht="45">
      <c r="A230" s="668" t="s">
        <v>781</v>
      </c>
      <c r="B230" s="696"/>
      <c r="C230" s="141" t="s">
        <v>782</v>
      </c>
      <c r="D230" s="121">
        <v>17019</v>
      </c>
      <c r="E230" s="121">
        <v>2</v>
      </c>
      <c r="F230" s="121">
        <v>3</v>
      </c>
      <c r="G230" s="122">
        <f t="shared" si="20"/>
        <v>6</v>
      </c>
      <c r="H230" s="121" t="s">
        <v>639</v>
      </c>
      <c r="I230" s="129">
        <v>130</v>
      </c>
      <c r="J230" s="109">
        <f t="shared" si="21"/>
        <v>780</v>
      </c>
      <c r="K230" s="663"/>
      <c r="L230" s="121" t="s">
        <v>630</v>
      </c>
    </row>
    <row r="231" spans="1:12" ht="75">
      <c r="A231" s="668" t="s">
        <v>781</v>
      </c>
      <c r="B231" s="696"/>
      <c r="C231" s="141" t="s">
        <v>872</v>
      </c>
      <c r="D231" s="121">
        <v>17019</v>
      </c>
      <c r="E231" s="121">
        <v>3</v>
      </c>
      <c r="F231" s="121">
        <v>1</v>
      </c>
      <c r="G231" s="122">
        <f t="shared" si="20"/>
        <v>3</v>
      </c>
      <c r="H231" s="121" t="s">
        <v>639</v>
      </c>
      <c r="I231" s="129">
        <v>130</v>
      </c>
      <c r="J231" s="109">
        <f t="shared" si="21"/>
        <v>390</v>
      </c>
      <c r="K231" s="663"/>
      <c r="L231" s="121" t="s">
        <v>630</v>
      </c>
    </row>
    <row r="232" spans="1:12" ht="105">
      <c r="A232" s="668" t="s">
        <v>873</v>
      </c>
      <c r="B232" s="696"/>
      <c r="C232" s="141" t="s">
        <v>874</v>
      </c>
      <c r="D232" s="121">
        <v>17019</v>
      </c>
      <c r="E232" s="121">
        <v>55</v>
      </c>
      <c r="F232" s="121">
        <v>1</v>
      </c>
      <c r="G232" s="122">
        <f t="shared" si="20"/>
        <v>55</v>
      </c>
      <c r="H232" s="121" t="s">
        <v>639</v>
      </c>
      <c r="I232" s="129">
        <v>150</v>
      </c>
      <c r="J232" s="109">
        <f t="shared" si="21"/>
        <v>8250</v>
      </c>
      <c r="K232" s="663"/>
      <c r="L232" s="121" t="s">
        <v>630</v>
      </c>
    </row>
    <row r="233" spans="1:12" ht="45">
      <c r="A233" s="668" t="s">
        <v>873</v>
      </c>
      <c r="B233" s="696"/>
      <c r="C233" s="141" t="s">
        <v>875</v>
      </c>
      <c r="D233" s="121">
        <v>17019</v>
      </c>
      <c r="E233" s="121">
        <v>4</v>
      </c>
      <c r="F233" s="121">
        <v>1</v>
      </c>
      <c r="G233" s="122">
        <f t="shared" si="20"/>
        <v>4</v>
      </c>
      <c r="H233" s="121" t="s">
        <v>639</v>
      </c>
      <c r="I233" s="129">
        <v>150</v>
      </c>
      <c r="J233" s="109">
        <f t="shared" si="21"/>
        <v>600</v>
      </c>
      <c r="K233" s="659"/>
      <c r="L233" s="121" t="s">
        <v>630</v>
      </c>
    </row>
    <row r="234" spans="1:12">
      <c r="A234" s="676" t="s">
        <v>681</v>
      </c>
      <c r="B234" s="688"/>
      <c r="C234" s="113"/>
      <c r="D234" s="114"/>
      <c r="E234" s="114"/>
      <c r="F234" s="114"/>
      <c r="G234" s="115"/>
      <c r="H234" s="114"/>
      <c r="I234" s="125"/>
      <c r="J234" s="157">
        <f t="shared" si="21"/>
        <v>0</v>
      </c>
      <c r="K234" s="117">
        <f>SUM(J235:J239)</f>
        <v>29608</v>
      </c>
      <c r="L234" s="114"/>
    </row>
    <row r="235" spans="1:12">
      <c r="A235" s="678" t="s">
        <v>682</v>
      </c>
      <c r="B235" s="700"/>
      <c r="C235" s="141"/>
      <c r="D235" s="121">
        <v>14591</v>
      </c>
      <c r="E235" s="146">
        <v>6</v>
      </c>
      <c r="F235" s="121">
        <v>5</v>
      </c>
      <c r="G235" s="122">
        <f>E235*F235</f>
        <v>30</v>
      </c>
      <c r="H235" s="121" t="s">
        <v>639</v>
      </c>
      <c r="I235" s="129">
        <v>220</v>
      </c>
      <c r="J235" s="109">
        <f t="shared" si="21"/>
        <v>6600</v>
      </c>
      <c r="K235" s="658"/>
      <c r="L235" s="121" t="s">
        <v>630</v>
      </c>
    </row>
    <row r="236" spans="1:12">
      <c r="A236" s="678" t="s">
        <v>683</v>
      </c>
      <c r="B236" s="700"/>
      <c r="C236" s="141"/>
      <c r="D236" s="121">
        <v>25631</v>
      </c>
      <c r="E236" s="146">
        <v>6</v>
      </c>
      <c r="F236" s="121">
        <v>5</v>
      </c>
      <c r="G236" s="122">
        <f>E236*F236</f>
        <v>30</v>
      </c>
      <c r="H236" s="121" t="s">
        <v>639</v>
      </c>
      <c r="I236" s="129">
        <v>180</v>
      </c>
      <c r="J236" s="109">
        <f t="shared" si="21"/>
        <v>5400</v>
      </c>
      <c r="K236" s="663"/>
      <c r="L236" s="121" t="s">
        <v>630</v>
      </c>
    </row>
    <row r="237" spans="1:12">
      <c r="A237" s="678" t="s">
        <v>684</v>
      </c>
      <c r="B237" s="700"/>
      <c r="C237" s="141"/>
      <c r="D237" s="121">
        <v>14591</v>
      </c>
      <c r="E237" s="121">
        <v>10</v>
      </c>
      <c r="F237" s="121">
        <v>1</v>
      </c>
      <c r="G237" s="122">
        <f t="shared" ref="G237:G247" si="22">E237*F237</f>
        <v>10</v>
      </c>
      <c r="H237" s="121" t="s">
        <v>639</v>
      </c>
      <c r="I237" s="129">
        <v>250</v>
      </c>
      <c r="J237" s="109">
        <f t="shared" si="21"/>
        <v>2500</v>
      </c>
      <c r="K237" s="663"/>
      <c r="L237" s="121" t="s">
        <v>630</v>
      </c>
    </row>
    <row r="238" spans="1:12">
      <c r="A238" s="678" t="s">
        <v>787</v>
      </c>
      <c r="B238" s="700"/>
      <c r="C238" s="128"/>
      <c r="D238" s="121">
        <v>3239</v>
      </c>
      <c r="E238" s="121">
        <v>6</v>
      </c>
      <c r="F238" s="121">
        <v>1</v>
      </c>
      <c r="G238" s="122">
        <f t="shared" si="22"/>
        <v>6</v>
      </c>
      <c r="H238" s="121" t="s">
        <v>639</v>
      </c>
      <c r="I238" s="129">
        <v>268</v>
      </c>
      <c r="J238" s="109">
        <f t="shared" si="21"/>
        <v>1608</v>
      </c>
      <c r="K238" s="663"/>
      <c r="L238" s="121" t="s">
        <v>630</v>
      </c>
    </row>
    <row r="239" spans="1:12">
      <c r="A239" s="668" t="s">
        <v>788</v>
      </c>
      <c r="B239" s="696"/>
      <c r="C239" s="141"/>
      <c r="D239" s="121">
        <v>12637</v>
      </c>
      <c r="E239" s="121">
        <v>3</v>
      </c>
      <c r="F239" s="121">
        <v>3</v>
      </c>
      <c r="G239" s="122">
        <f>E239*F239</f>
        <v>9</v>
      </c>
      <c r="H239" s="121" t="s">
        <v>639</v>
      </c>
      <c r="I239" s="129">
        <v>1500</v>
      </c>
      <c r="J239" s="109">
        <f t="shared" si="21"/>
        <v>13500</v>
      </c>
      <c r="K239" s="659"/>
      <c r="L239" s="121" t="s">
        <v>630</v>
      </c>
    </row>
    <row r="240" spans="1:12">
      <c r="A240" s="676" t="s">
        <v>685</v>
      </c>
      <c r="B240" s="688"/>
      <c r="C240" s="124"/>
      <c r="D240" s="114"/>
      <c r="E240" s="114"/>
      <c r="F240" s="114"/>
      <c r="G240" s="115"/>
      <c r="H240" s="114"/>
      <c r="I240" s="125"/>
      <c r="J240" s="157">
        <f t="shared" si="21"/>
        <v>0</v>
      </c>
      <c r="K240" s="117">
        <f>SUM(J241:J246)</f>
        <v>254750</v>
      </c>
      <c r="L240" s="114"/>
    </row>
    <row r="241" spans="1:12">
      <c r="A241" s="118" t="s">
        <v>686</v>
      </c>
      <c r="B241" s="190"/>
      <c r="C241" s="660" t="s">
        <v>876</v>
      </c>
      <c r="D241" s="121">
        <v>3697</v>
      </c>
      <c r="E241" s="121">
        <v>300</v>
      </c>
      <c r="F241" s="121">
        <v>3</v>
      </c>
      <c r="G241" s="122">
        <f t="shared" si="22"/>
        <v>900</v>
      </c>
      <c r="H241" s="121" t="s">
        <v>692</v>
      </c>
      <c r="I241" s="129">
        <v>65</v>
      </c>
      <c r="J241" s="109">
        <f t="shared" si="21"/>
        <v>58500</v>
      </c>
      <c r="K241" s="658"/>
      <c r="L241" s="121" t="s">
        <v>630</v>
      </c>
    </row>
    <row r="242" spans="1:12">
      <c r="A242" s="118" t="s">
        <v>790</v>
      </c>
      <c r="B242" s="190"/>
      <c r="C242" s="662"/>
      <c r="D242" s="121">
        <v>3697</v>
      </c>
      <c r="E242" s="121">
        <v>300</v>
      </c>
      <c r="F242" s="121">
        <v>2</v>
      </c>
      <c r="G242" s="122">
        <f t="shared" si="22"/>
        <v>600</v>
      </c>
      <c r="H242" s="121" t="s">
        <v>692</v>
      </c>
      <c r="I242" s="129">
        <v>75</v>
      </c>
      <c r="J242" s="109">
        <f t="shared" si="21"/>
        <v>45000</v>
      </c>
      <c r="K242" s="663"/>
      <c r="L242" s="121" t="s">
        <v>630</v>
      </c>
    </row>
    <row r="243" spans="1:12" ht="150">
      <c r="A243" s="118" t="s">
        <v>698</v>
      </c>
      <c r="B243" s="190"/>
      <c r="C243" s="141" t="s">
        <v>877</v>
      </c>
      <c r="D243" s="121">
        <v>3697</v>
      </c>
      <c r="E243" s="121">
        <v>350</v>
      </c>
      <c r="F243" s="121">
        <v>1</v>
      </c>
      <c r="G243" s="122">
        <f t="shared" si="22"/>
        <v>350</v>
      </c>
      <c r="H243" s="121" t="s">
        <v>692</v>
      </c>
      <c r="I243" s="129">
        <v>85</v>
      </c>
      <c r="J243" s="109">
        <f>I243*G243</f>
        <v>29750</v>
      </c>
      <c r="K243" s="663"/>
      <c r="L243" s="121" t="s">
        <v>630</v>
      </c>
    </row>
    <row r="244" spans="1:12" ht="135">
      <c r="A244" s="118" t="s">
        <v>794</v>
      </c>
      <c r="B244" s="191"/>
      <c r="C244" s="141" t="s">
        <v>878</v>
      </c>
      <c r="D244" s="121">
        <v>3697</v>
      </c>
      <c r="E244" s="121">
        <v>300</v>
      </c>
      <c r="F244" s="121">
        <v>1</v>
      </c>
      <c r="G244" s="122">
        <f t="shared" si="22"/>
        <v>300</v>
      </c>
      <c r="H244" s="121" t="s">
        <v>692</v>
      </c>
      <c r="I244" s="129">
        <v>45</v>
      </c>
      <c r="J244" s="109">
        <f t="shared" ref="J244:J247" si="23">I244*G244</f>
        <v>13500</v>
      </c>
      <c r="K244" s="663"/>
      <c r="L244" s="121" t="s">
        <v>630</v>
      </c>
    </row>
    <row r="245" spans="1:12">
      <c r="A245" s="118" t="s">
        <v>690</v>
      </c>
      <c r="B245" s="166"/>
      <c r="C245" s="141"/>
      <c r="D245" s="121">
        <v>3697</v>
      </c>
      <c r="E245" s="121">
        <v>600</v>
      </c>
      <c r="F245" s="121">
        <v>4</v>
      </c>
      <c r="G245" s="122">
        <f t="shared" si="22"/>
        <v>2400</v>
      </c>
      <c r="H245" s="121" t="s">
        <v>692</v>
      </c>
      <c r="I245" s="129">
        <v>34</v>
      </c>
      <c r="J245" s="109">
        <f t="shared" si="23"/>
        <v>81600</v>
      </c>
      <c r="K245" s="663"/>
      <c r="L245" s="121" t="s">
        <v>630</v>
      </c>
    </row>
    <row r="246" spans="1:12">
      <c r="A246" s="118" t="s">
        <v>796</v>
      </c>
      <c r="B246" s="192"/>
      <c r="C246" s="128" t="s">
        <v>643</v>
      </c>
      <c r="D246" s="121">
        <v>3697</v>
      </c>
      <c r="E246" s="121">
        <v>300</v>
      </c>
      <c r="F246" s="121">
        <v>4</v>
      </c>
      <c r="G246" s="122">
        <f t="shared" si="22"/>
        <v>1200</v>
      </c>
      <c r="H246" s="121" t="s">
        <v>692</v>
      </c>
      <c r="I246" s="129">
        <v>22</v>
      </c>
      <c r="J246" s="109">
        <f t="shared" si="23"/>
        <v>26400</v>
      </c>
      <c r="K246" s="659"/>
      <c r="L246" s="121" t="s">
        <v>630</v>
      </c>
    </row>
    <row r="247" spans="1:12">
      <c r="A247" s="144" t="s">
        <v>796</v>
      </c>
      <c r="B247" s="193"/>
      <c r="C247" s="128" t="s">
        <v>879</v>
      </c>
      <c r="D247" s="121">
        <v>3697</v>
      </c>
      <c r="E247" s="121">
        <v>30</v>
      </c>
      <c r="F247" s="121">
        <v>5</v>
      </c>
      <c r="G247" s="122">
        <f t="shared" si="22"/>
        <v>150</v>
      </c>
      <c r="H247" s="121" t="s">
        <v>692</v>
      </c>
      <c r="I247" s="129">
        <v>22</v>
      </c>
      <c r="J247" s="109">
        <f t="shared" si="23"/>
        <v>3300</v>
      </c>
      <c r="K247" s="194"/>
      <c r="L247" s="121"/>
    </row>
    <row r="248" spans="1:12">
      <c r="A248" s="682" t="s">
        <v>631</v>
      </c>
      <c r="B248" s="683"/>
      <c r="C248" s="124"/>
      <c r="D248" s="114"/>
      <c r="E248" s="114"/>
      <c r="F248" s="114"/>
      <c r="G248" s="115"/>
      <c r="H248" s="114"/>
      <c r="I248" s="125"/>
      <c r="J248" s="114"/>
      <c r="K248" s="117">
        <f>SUM(J249:J251)</f>
        <v>96000</v>
      </c>
      <c r="L248" s="114"/>
    </row>
    <row r="249" spans="1:12">
      <c r="A249" s="704" t="s">
        <v>632</v>
      </c>
      <c r="B249" s="705"/>
      <c r="C249" s="128"/>
      <c r="D249" s="121">
        <v>20656</v>
      </c>
      <c r="E249" s="121">
        <v>3</v>
      </c>
      <c r="F249" s="121">
        <v>1</v>
      </c>
      <c r="G249" s="122">
        <f t="shared" ref="G249:G268" si="24">E249*F249</f>
        <v>3</v>
      </c>
      <c r="H249" s="121" t="s">
        <v>633</v>
      </c>
      <c r="I249" s="129">
        <v>16000</v>
      </c>
      <c r="J249" s="109">
        <f>I249*G249</f>
        <v>48000</v>
      </c>
      <c r="K249" s="658"/>
      <c r="L249" s="121" t="s">
        <v>630</v>
      </c>
    </row>
    <row r="250" spans="1:12">
      <c r="A250" s="689" t="s">
        <v>880</v>
      </c>
      <c r="B250" s="690"/>
      <c r="C250" s="128"/>
      <c r="D250" s="121">
        <v>20656</v>
      </c>
      <c r="E250" s="121">
        <v>3</v>
      </c>
      <c r="F250" s="121">
        <v>1</v>
      </c>
      <c r="G250" s="122">
        <f t="shared" si="24"/>
        <v>3</v>
      </c>
      <c r="H250" s="121" t="s">
        <v>633</v>
      </c>
      <c r="I250" s="129">
        <v>8000</v>
      </c>
      <c r="J250" s="109">
        <f>I250*G250</f>
        <v>24000</v>
      </c>
      <c r="K250" s="663"/>
      <c r="L250" s="121" t="s">
        <v>630</v>
      </c>
    </row>
    <row r="251" spans="1:12" ht="30">
      <c r="A251" s="126" t="s">
        <v>811</v>
      </c>
      <c r="B251" s="193"/>
      <c r="C251" s="128"/>
      <c r="D251" s="121">
        <v>20656</v>
      </c>
      <c r="E251" s="121">
        <v>2</v>
      </c>
      <c r="F251" s="121">
        <v>1</v>
      </c>
      <c r="G251" s="122">
        <f t="shared" si="24"/>
        <v>2</v>
      </c>
      <c r="H251" s="121" t="s">
        <v>633</v>
      </c>
      <c r="I251" s="129">
        <v>12000</v>
      </c>
      <c r="J251" s="109">
        <f>I251*G251</f>
        <v>24000</v>
      </c>
      <c r="K251" s="659"/>
      <c r="L251" s="121" t="s">
        <v>630</v>
      </c>
    </row>
    <row r="252" spans="1:12">
      <c r="A252" s="676" t="s">
        <v>881</v>
      </c>
      <c r="B252" s="688"/>
      <c r="C252" s="124"/>
      <c r="D252" s="114"/>
      <c r="E252" s="114"/>
      <c r="F252" s="114"/>
      <c r="G252" s="115"/>
      <c r="H252" s="114"/>
      <c r="I252" s="125"/>
      <c r="J252" s="114"/>
      <c r="K252" s="117">
        <f>SUM(J254:J262)</f>
        <v>30365</v>
      </c>
      <c r="L252" s="114"/>
    </row>
    <row r="253" spans="1:12">
      <c r="A253" s="673" t="s">
        <v>702</v>
      </c>
      <c r="B253" s="674"/>
      <c r="C253" s="128"/>
      <c r="D253" s="123" t="s">
        <v>703</v>
      </c>
      <c r="E253" s="121"/>
      <c r="F253" s="121"/>
      <c r="G253" s="122"/>
      <c r="H253" s="121"/>
      <c r="I253" s="129"/>
      <c r="J253" s="121"/>
      <c r="K253" s="670"/>
      <c r="L253" s="121"/>
    </row>
    <row r="254" spans="1:12" ht="60">
      <c r="A254" s="668" t="s">
        <v>882</v>
      </c>
      <c r="B254" s="696"/>
      <c r="C254" s="141" t="s">
        <v>798</v>
      </c>
      <c r="D254" s="121">
        <v>3948</v>
      </c>
      <c r="E254" s="121">
        <v>350</v>
      </c>
      <c r="F254" s="121">
        <v>1</v>
      </c>
      <c r="G254" s="122">
        <f>E254*F254</f>
        <v>350</v>
      </c>
      <c r="H254" s="121" t="s">
        <v>706</v>
      </c>
      <c r="I254" s="129">
        <v>30</v>
      </c>
      <c r="J254" s="109">
        <f>I254*G254</f>
        <v>10500</v>
      </c>
      <c r="K254" s="671"/>
      <c r="L254" s="121" t="s">
        <v>630</v>
      </c>
    </row>
    <row r="255" spans="1:12" ht="405">
      <c r="A255" s="668" t="s">
        <v>883</v>
      </c>
      <c r="B255" s="696"/>
      <c r="C255" s="141" t="s">
        <v>884</v>
      </c>
      <c r="D255" s="121">
        <v>251388</v>
      </c>
      <c r="E255" s="121">
        <v>300</v>
      </c>
      <c r="F255" s="121">
        <v>1</v>
      </c>
      <c r="G255" s="122">
        <v>320</v>
      </c>
      <c r="H255" s="121" t="s">
        <v>706</v>
      </c>
      <c r="I255" s="129">
        <v>25</v>
      </c>
      <c r="J255" s="109">
        <f>I255*G255</f>
        <v>8000</v>
      </c>
      <c r="K255" s="671"/>
      <c r="L255" s="121" t="s">
        <v>630</v>
      </c>
    </row>
    <row r="256" spans="1:12" ht="330">
      <c r="A256" s="668" t="s">
        <v>885</v>
      </c>
      <c r="B256" s="696"/>
      <c r="C256" s="141" t="s">
        <v>886</v>
      </c>
      <c r="D256" s="121">
        <v>68500</v>
      </c>
      <c r="E256" s="121">
        <v>320</v>
      </c>
      <c r="F256" s="121">
        <v>1</v>
      </c>
      <c r="G256" s="122">
        <f t="shared" si="24"/>
        <v>320</v>
      </c>
      <c r="H256" s="121" t="s">
        <v>706</v>
      </c>
      <c r="I256" s="129">
        <v>10</v>
      </c>
      <c r="J256" s="109">
        <f>I256*G256</f>
        <v>3200</v>
      </c>
      <c r="K256" s="671"/>
      <c r="L256" s="121" t="s">
        <v>630</v>
      </c>
    </row>
    <row r="257" spans="1:12" ht="90">
      <c r="A257" s="668" t="s">
        <v>718</v>
      </c>
      <c r="B257" s="696"/>
      <c r="C257" s="141" t="s">
        <v>887</v>
      </c>
      <c r="D257" s="195">
        <v>32859</v>
      </c>
      <c r="E257" s="121">
        <v>350</v>
      </c>
      <c r="F257" s="121">
        <v>1</v>
      </c>
      <c r="G257" s="122">
        <f t="shared" si="24"/>
        <v>350</v>
      </c>
      <c r="H257" s="121" t="s">
        <v>706</v>
      </c>
      <c r="I257" s="129">
        <v>5.5</v>
      </c>
      <c r="J257" s="109">
        <f t="shared" ref="J257:J268" si="25">I257*G257</f>
        <v>1925</v>
      </c>
      <c r="K257" s="671"/>
      <c r="L257" s="121" t="s">
        <v>630</v>
      </c>
    </row>
    <row r="258" spans="1:12" ht="150">
      <c r="A258" s="668" t="s">
        <v>718</v>
      </c>
      <c r="B258" s="696"/>
      <c r="C258" s="141" t="s">
        <v>888</v>
      </c>
      <c r="D258" s="121">
        <v>19313</v>
      </c>
      <c r="E258" s="121">
        <v>1</v>
      </c>
      <c r="F258" s="121">
        <v>1</v>
      </c>
      <c r="G258" s="122">
        <f t="shared" si="24"/>
        <v>1</v>
      </c>
      <c r="H258" s="121" t="s">
        <v>709</v>
      </c>
      <c r="I258" s="129">
        <v>2540</v>
      </c>
      <c r="J258" s="109">
        <f t="shared" si="25"/>
        <v>2540</v>
      </c>
      <c r="K258" s="671"/>
      <c r="L258" s="121" t="s">
        <v>630</v>
      </c>
    </row>
    <row r="259" spans="1:12" ht="135">
      <c r="A259" s="668" t="s">
        <v>710</v>
      </c>
      <c r="B259" s="696"/>
      <c r="C259" s="141" t="s">
        <v>889</v>
      </c>
      <c r="D259" s="121">
        <v>19313</v>
      </c>
      <c r="E259" s="121">
        <v>2</v>
      </c>
      <c r="F259" s="121">
        <v>1</v>
      </c>
      <c r="G259" s="122">
        <f t="shared" si="24"/>
        <v>2</v>
      </c>
      <c r="H259" s="121" t="s">
        <v>706</v>
      </c>
      <c r="I259" s="129">
        <v>160</v>
      </c>
      <c r="J259" s="109">
        <f t="shared" si="25"/>
        <v>320</v>
      </c>
      <c r="K259" s="671"/>
      <c r="L259" s="121" t="s">
        <v>630</v>
      </c>
    </row>
    <row r="260" spans="1:12" ht="150">
      <c r="A260" s="668" t="s">
        <v>712</v>
      </c>
      <c r="B260" s="696"/>
      <c r="C260" s="141" t="s">
        <v>890</v>
      </c>
      <c r="D260" s="121">
        <v>73814</v>
      </c>
      <c r="E260" s="121">
        <v>350</v>
      </c>
      <c r="F260" s="121">
        <v>1</v>
      </c>
      <c r="G260" s="122">
        <v>320</v>
      </c>
      <c r="H260" s="121" t="s">
        <v>706</v>
      </c>
      <c r="I260" s="170">
        <v>5</v>
      </c>
      <c r="J260" s="109">
        <f t="shared" si="25"/>
        <v>1600</v>
      </c>
      <c r="K260" s="671"/>
      <c r="L260" s="121" t="s">
        <v>630</v>
      </c>
    </row>
    <row r="261" spans="1:12" ht="75">
      <c r="A261" s="668" t="s">
        <v>714</v>
      </c>
      <c r="B261" s="696"/>
      <c r="C261" s="141" t="s">
        <v>891</v>
      </c>
      <c r="D261" s="183">
        <v>15946</v>
      </c>
      <c r="E261" s="121">
        <v>350</v>
      </c>
      <c r="F261" s="121">
        <v>1</v>
      </c>
      <c r="G261" s="122">
        <v>320</v>
      </c>
      <c r="H261" s="121" t="s">
        <v>706</v>
      </c>
      <c r="I261" s="129">
        <v>1.5</v>
      </c>
      <c r="J261" s="109">
        <f t="shared" si="25"/>
        <v>480</v>
      </c>
      <c r="K261" s="671"/>
      <c r="L261" s="121" t="s">
        <v>630</v>
      </c>
    </row>
    <row r="262" spans="1:12" ht="255">
      <c r="A262" s="668" t="s">
        <v>892</v>
      </c>
      <c r="B262" s="696"/>
      <c r="C262" s="141" t="s">
        <v>893</v>
      </c>
      <c r="D262" s="121">
        <v>3948</v>
      </c>
      <c r="E262" s="121">
        <v>60</v>
      </c>
      <c r="F262" s="121">
        <v>1</v>
      </c>
      <c r="G262" s="122">
        <f t="shared" si="24"/>
        <v>60</v>
      </c>
      <c r="H262" s="121" t="s">
        <v>706</v>
      </c>
      <c r="I262" s="129">
        <v>30</v>
      </c>
      <c r="J262" s="109">
        <f t="shared" si="25"/>
        <v>1800</v>
      </c>
      <c r="K262" s="672"/>
      <c r="L262" s="121" t="s">
        <v>630</v>
      </c>
    </row>
    <row r="263" spans="1:12">
      <c r="A263" s="676" t="s">
        <v>720</v>
      </c>
      <c r="B263" s="688"/>
      <c r="C263" s="113"/>
      <c r="D263" s="114"/>
      <c r="E263" s="114"/>
      <c r="F263" s="114"/>
      <c r="G263" s="115"/>
      <c r="H263" s="114"/>
      <c r="I263" s="125"/>
      <c r="J263" s="114"/>
      <c r="K263" s="117">
        <f>SUM(J264:J268)</f>
        <v>96350</v>
      </c>
      <c r="L263" s="114"/>
    </row>
    <row r="264" spans="1:12" ht="225">
      <c r="A264" s="668" t="s">
        <v>721</v>
      </c>
      <c r="B264" s="696"/>
      <c r="C264" s="141" t="s">
        <v>894</v>
      </c>
      <c r="D264" s="121">
        <v>25089</v>
      </c>
      <c r="E264" s="121">
        <v>22</v>
      </c>
      <c r="F264" s="121">
        <v>1</v>
      </c>
      <c r="G264" s="122">
        <f t="shared" si="24"/>
        <v>22</v>
      </c>
      <c r="H264" s="121" t="s">
        <v>639</v>
      </c>
      <c r="I264" s="129">
        <v>2000</v>
      </c>
      <c r="J264" s="109">
        <f t="shared" si="25"/>
        <v>44000</v>
      </c>
      <c r="K264" s="658"/>
      <c r="L264" s="121" t="s">
        <v>630</v>
      </c>
    </row>
    <row r="265" spans="1:12" ht="195">
      <c r="A265" s="668" t="s">
        <v>813</v>
      </c>
      <c r="B265" s="696"/>
      <c r="C265" s="141" t="s">
        <v>895</v>
      </c>
      <c r="D265" s="121">
        <v>25089</v>
      </c>
      <c r="E265" s="121">
        <v>16</v>
      </c>
      <c r="F265" s="121">
        <v>1</v>
      </c>
      <c r="G265" s="122">
        <f t="shared" si="24"/>
        <v>16</v>
      </c>
      <c r="H265" s="121" t="s">
        <v>639</v>
      </c>
      <c r="I265" s="129">
        <v>1300</v>
      </c>
      <c r="J265" s="109">
        <f t="shared" si="25"/>
        <v>20800</v>
      </c>
      <c r="K265" s="663"/>
      <c r="L265" s="121" t="s">
        <v>630</v>
      </c>
    </row>
    <row r="266" spans="1:12" ht="225">
      <c r="A266" s="668" t="s">
        <v>724</v>
      </c>
      <c r="B266" s="696"/>
      <c r="C266" s="141" t="s">
        <v>815</v>
      </c>
      <c r="D266" s="121">
        <v>25089</v>
      </c>
      <c r="E266" s="121">
        <v>25</v>
      </c>
      <c r="F266" s="121">
        <v>1</v>
      </c>
      <c r="G266" s="122">
        <f t="shared" si="24"/>
        <v>25</v>
      </c>
      <c r="H266" s="121" t="s">
        <v>639</v>
      </c>
      <c r="I266" s="129">
        <v>760</v>
      </c>
      <c r="J266" s="109">
        <f t="shared" si="25"/>
        <v>19000</v>
      </c>
      <c r="K266" s="663"/>
      <c r="L266" s="121" t="s">
        <v>630</v>
      </c>
    </row>
    <row r="267" spans="1:12" ht="210">
      <c r="A267" s="668" t="s">
        <v>818</v>
      </c>
      <c r="B267" s="696"/>
      <c r="C267" s="141" t="s">
        <v>896</v>
      </c>
      <c r="D267" s="121">
        <v>25089</v>
      </c>
      <c r="E267" s="121">
        <v>10</v>
      </c>
      <c r="F267" s="121">
        <v>1</v>
      </c>
      <c r="G267" s="122">
        <f t="shared" si="24"/>
        <v>10</v>
      </c>
      <c r="H267" s="121" t="s">
        <v>639</v>
      </c>
      <c r="I267" s="129">
        <v>580</v>
      </c>
      <c r="J267" s="109">
        <f t="shared" si="25"/>
        <v>5800</v>
      </c>
      <c r="K267" s="663"/>
      <c r="L267" s="121" t="s">
        <v>630</v>
      </c>
    </row>
    <row r="268" spans="1:12" ht="210">
      <c r="A268" s="678" t="s">
        <v>816</v>
      </c>
      <c r="B268" s="700"/>
      <c r="C268" s="120" t="s">
        <v>897</v>
      </c>
      <c r="D268" s="146">
        <v>25089</v>
      </c>
      <c r="E268" s="146">
        <v>15</v>
      </c>
      <c r="F268" s="146">
        <v>1</v>
      </c>
      <c r="G268" s="147">
        <f t="shared" si="24"/>
        <v>15</v>
      </c>
      <c r="H268" s="146" t="s">
        <v>639</v>
      </c>
      <c r="I268" s="148">
        <v>450</v>
      </c>
      <c r="J268" s="149">
        <f t="shared" si="25"/>
        <v>6750</v>
      </c>
      <c r="K268" s="659"/>
      <c r="L268" s="121" t="s">
        <v>630</v>
      </c>
    </row>
    <row r="269" spans="1:12">
      <c r="A269" s="706"/>
      <c r="B269" s="706"/>
      <c r="C269" s="706"/>
      <c r="D269" s="706"/>
      <c r="E269" s="706"/>
      <c r="F269" s="706"/>
      <c r="G269" s="706"/>
      <c r="H269" s="706"/>
      <c r="I269" s="706"/>
      <c r="J269" s="706"/>
      <c r="K269" s="706"/>
      <c r="L269" s="706"/>
    </row>
    <row r="270" spans="1:12" ht="84">
      <c r="A270" s="136" t="s">
        <v>898</v>
      </c>
      <c r="B270" s="172"/>
      <c r="C270" s="128"/>
      <c r="D270" s="121"/>
      <c r="E270" s="121"/>
      <c r="F270" s="121"/>
      <c r="G270" s="122"/>
      <c r="H270" s="121"/>
      <c r="I270" s="129"/>
      <c r="J270" s="121"/>
      <c r="K270" s="110">
        <f>SUM(K271+K275+K279+K296+K299+K305+K316+K318)</f>
        <v>405231.5</v>
      </c>
      <c r="L270" s="121"/>
    </row>
    <row r="271" spans="1:12">
      <c r="A271" s="111" t="s">
        <v>726</v>
      </c>
      <c r="B271" s="112"/>
      <c r="C271" s="124"/>
      <c r="D271" s="114"/>
      <c r="E271" s="114"/>
      <c r="F271" s="114"/>
      <c r="G271" s="115"/>
      <c r="H271" s="114"/>
      <c r="I271" s="125"/>
      <c r="J271" s="114"/>
      <c r="K271" s="117">
        <f>SUM(J272:J274)</f>
        <v>103800</v>
      </c>
      <c r="L271" s="114"/>
    </row>
    <row r="272" spans="1:12">
      <c r="A272" s="118" t="s">
        <v>637</v>
      </c>
      <c r="B272" s="119"/>
      <c r="C272" s="660" t="s">
        <v>638</v>
      </c>
      <c r="D272" s="121">
        <v>9946</v>
      </c>
      <c r="E272" s="121">
        <v>20</v>
      </c>
      <c r="F272" s="121">
        <v>3</v>
      </c>
      <c r="G272" s="122">
        <f>E272*F272</f>
        <v>60</v>
      </c>
      <c r="H272" s="121" t="s">
        <v>639</v>
      </c>
      <c r="I272" s="129">
        <v>260</v>
      </c>
      <c r="J272" s="109">
        <f>I272*G272</f>
        <v>15600</v>
      </c>
      <c r="K272" s="658"/>
      <c r="L272" s="121" t="s">
        <v>630</v>
      </c>
    </row>
    <row r="273" spans="1:12">
      <c r="A273" s="118" t="s">
        <v>640</v>
      </c>
      <c r="B273" s="119"/>
      <c r="C273" s="661"/>
      <c r="D273" s="121">
        <v>9946</v>
      </c>
      <c r="E273" s="121">
        <v>75</v>
      </c>
      <c r="F273" s="121">
        <v>3</v>
      </c>
      <c r="G273" s="122">
        <f>E273*F273</f>
        <v>225</v>
      </c>
      <c r="H273" s="121" t="s">
        <v>639</v>
      </c>
      <c r="I273" s="129">
        <v>340</v>
      </c>
      <c r="J273" s="109">
        <f t="shared" ref="J273:J274" si="26">I273*G273</f>
        <v>76500</v>
      </c>
      <c r="K273" s="663"/>
      <c r="L273" s="121" t="s">
        <v>630</v>
      </c>
    </row>
    <row r="274" spans="1:12">
      <c r="A274" s="118" t="s">
        <v>727</v>
      </c>
      <c r="B274" s="119"/>
      <c r="C274" s="662"/>
      <c r="D274" s="121">
        <v>9946</v>
      </c>
      <c r="E274" s="121">
        <v>10</v>
      </c>
      <c r="F274" s="121">
        <v>3</v>
      </c>
      <c r="G274" s="122">
        <f>E274*F274</f>
        <v>30</v>
      </c>
      <c r="H274" s="121" t="s">
        <v>639</v>
      </c>
      <c r="I274" s="129">
        <v>390</v>
      </c>
      <c r="J274" s="109">
        <f t="shared" si="26"/>
        <v>11700</v>
      </c>
      <c r="K274" s="659"/>
      <c r="L274" s="121" t="s">
        <v>630</v>
      </c>
    </row>
    <row r="275" spans="1:12">
      <c r="A275" s="111" t="s">
        <v>728</v>
      </c>
      <c r="B275" s="112"/>
      <c r="C275" s="124"/>
      <c r="D275" s="114"/>
      <c r="E275" s="114"/>
      <c r="F275" s="114"/>
      <c r="G275" s="115"/>
      <c r="H275" s="114"/>
      <c r="I275" s="125"/>
      <c r="J275" s="114"/>
      <c r="K275" s="117">
        <f>SUM(J276:J278)</f>
        <v>43600</v>
      </c>
      <c r="L275" s="114"/>
    </row>
    <row r="276" spans="1:12" ht="210">
      <c r="A276" s="118" t="s">
        <v>643</v>
      </c>
      <c r="B276" s="119"/>
      <c r="C276" s="141" t="s">
        <v>899</v>
      </c>
      <c r="D276" s="121">
        <v>22721</v>
      </c>
      <c r="E276" s="121">
        <v>1</v>
      </c>
      <c r="F276" s="121">
        <v>4</v>
      </c>
      <c r="G276" s="122">
        <f t="shared" ref="G276:G278" si="27">E276*F276</f>
        <v>4</v>
      </c>
      <c r="H276" s="121" t="s">
        <v>639</v>
      </c>
      <c r="I276" s="129">
        <v>10000</v>
      </c>
      <c r="J276" s="109">
        <f>I276*G276</f>
        <v>40000</v>
      </c>
      <c r="K276" s="658"/>
      <c r="L276" s="121" t="s">
        <v>630</v>
      </c>
    </row>
    <row r="277" spans="1:12" ht="105">
      <c r="A277" s="118" t="s">
        <v>900</v>
      </c>
      <c r="B277" s="119"/>
      <c r="C277" s="141" t="s">
        <v>648</v>
      </c>
      <c r="D277" s="121">
        <v>22721</v>
      </c>
      <c r="E277" s="121">
        <v>1</v>
      </c>
      <c r="F277" s="121">
        <v>3</v>
      </c>
      <c r="G277" s="122">
        <f t="shared" si="27"/>
        <v>3</v>
      </c>
      <c r="H277" s="121" t="s">
        <v>639</v>
      </c>
      <c r="I277" s="129">
        <v>600</v>
      </c>
      <c r="J277" s="109">
        <f t="shared" ref="J277:J278" si="28">I277*G277</f>
        <v>1800</v>
      </c>
      <c r="K277" s="663"/>
      <c r="L277" s="121" t="s">
        <v>630</v>
      </c>
    </row>
    <row r="278" spans="1:12" ht="105">
      <c r="A278" s="118" t="s">
        <v>732</v>
      </c>
      <c r="B278" s="119"/>
      <c r="C278" s="141" t="s">
        <v>648</v>
      </c>
      <c r="D278" s="121">
        <v>22721</v>
      </c>
      <c r="E278" s="121">
        <v>1</v>
      </c>
      <c r="F278" s="121">
        <v>3</v>
      </c>
      <c r="G278" s="122">
        <f t="shared" si="27"/>
        <v>3</v>
      </c>
      <c r="H278" s="121" t="s">
        <v>639</v>
      </c>
      <c r="I278" s="129">
        <v>600</v>
      </c>
      <c r="J278" s="109">
        <f t="shared" si="28"/>
        <v>1800</v>
      </c>
      <c r="K278" s="663"/>
      <c r="L278" s="121" t="s">
        <v>630</v>
      </c>
    </row>
    <row r="279" spans="1:12">
      <c r="A279" s="142" t="s">
        <v>651</v>
      </c>
      <c r="B279" s="143"/>
      <c r="C279" s="113"/>
      <c r="D279" s="114"/>
      <c r="E279" s="114"/>
      <c r="F279" s="114"/>
      <c r="G279" s="115"/>
      <c r="H279" s="114"/>
      <c r="I279" s="125"/>
      <c r="J279" s="114"/>
      <c r="K279" s="117">
        <f>SUM(J280:J295)</f>
        <v>39421.5</v>
      </c>
      <c r="L279" s="114"/>
    </row>
    <row r="280" spans="1:12" ht="30">
      <c r="A280" s="126" t="s">
        <v>743</v>
      </c>
      <c r="B280" s="196"/>
      <c r="C280" s="128" t="s">
        <v>744</v>
      </c>
      <c r="D280" s="121">
        <v>22888</v>
      </c>
      <c r="E280" s="121">
        <v>1</v>
      </c>
      <c r="F280" s="121">
        <v>3</v>
      </c>
      <c r="G280" s="122">
        <f t="shared" ref="G280:G295" si="29">E280*F280</f>
        <v>3</v>
      </c>
      <c r="H280" s="121" t="s">
        <v>639</v>
      </c>
      <c r="I280" s="129">
        <v>40</v>
      </c>
      <c r="J280" s="109">
        <f>I280*G280</f>
        <v>120</v>
      </c>
      <c r="K280" s="658"/>
      <c r="L280" s="121" t="s">
        <v>630</v>
      </c>
    </row>
    <row r="281" spans="1:12" ht="75">
      <c r="A281" s="118" t="s">
        <v>745</v>
      </c>
      <c r="B281" s="196"/>
      <c r="C281" s="141" t="s">
        <v>746</v>
      </c>
      <c r="D281" s="121">
        <v>14591</v>
      </c>
      <c r="E281" s="121">
        <v>11</v>
      </c>
      <c r="F281" s="121">
        <v>3</v>
      </c>
      <c r="G281" s="122">
        <f t="shared" si="29"/>
        <v>33</v>
      </c>
      <c r="H281" s="121" t="s">
        <v>639</v>
      </c>
      <c r="I281" s="129">
        <v>62</v>
      </c>
      <c r="J281" s="109">
        <f t="shared" ref="J281:J295" si="30">I281*G281</f>
        <v>2046</v>
      </c>
      <c r="K281" s="663"/>
      <c r="L281" s="121" t="s">
        <v>630</v>
      </c>
    </row>
    <row r="282" spans="1:12" ht="90">
      <c r="A282" s="118" t="s">
        <v>654</v>
      </c>
      <c r="B282" s="196"/>
      <c r="C282" s="141" t="s">
        <v>747</v>
      </c>
      <c r="D282" s="121">
        <v>14591</v>
      </c>
      <c r="E282" s="121">
        <v>6</v>
      </c>
      <c r="F282" s="121">
        <v>3</v>
      </c>
      <c r="G282" s="122">
        <f t="shared" si="29"/>
        <v>18</v>
      </c>
      <c r="H282" s="121" t="s">
        <v>639</v>
      </c>
      <c r="I282" s="129">
        <v>41</v>
      </c>
      <c r="J282" s="109">
        <f t="shared" si="30"/>
        <v>738</v>
      </c>
      <c r="K282" s="663"/>
      <c r="L282" s="121" t="s">
        <v>630</v>
      </c>
    </row>
    <row r="283" spans="1:12">
      <c r="A283" s="126" t="s">
        <v>748</v>
      </c>
      <c r="B283" s="196"/>
      <c r="C283" s="141" t="s">
        <v>749</v>
      </c>
      <c r="D283" s="121">
        <v>22888</v>
      </c>
      <c r="E283" s="121">
        <v>1</v>
      </c>
      <c r="F283" s="121">
        <v>3</v>
      </c>
      <c r="G283" s="122">
        <f t="shared" si="29"/>
        <v>3</v>
      </c>
      <c r="H283" s="121" t="s">
        <v>639</v>
      </c>
      <c r="I283" s="129">
        <v>25</v>
      </c>
      <c r="J283" s="109">
        <f t="shared" si="30"/>
        <v>75</v>
      </c>
      <c r="K283" s="663"/>
      <c r="L283" s="121" t="s">
        <v>630</v>
      </c>
    </row>
    <row r="284" spans="1:12" ht="30">
      <c r="A284" s="118" t="s">
        <v>750</v>
      </c>
      <c r="B284" s="196"/>
      <c r="C284" s="141" t="s">
        <v>751</v>
      </c>
      <c r="D284" s="121">
        <v>22888</v>
      </c>
      <c r="E284" s="121">
        <v>1</v>
      </c>
      <c r="F284" s="121">
        <v>3</v>
      </c>
      <c r="G284" s="122">
        <f t="shared" si="29"/>
        <v>3</v>
      </c>
      <c r="H284" s="121" t="s">
        <v>639</v>
      </c>
      <c r="I284" s="129">
        <v>140</v>
      </c>
      <c r="J284" s="109">
        <f t="shared" si="30"/>
        <v>420</v>
      </c>
      <c r="K284" s="663"/>
      <c r="L284" s="121" t="s">
        <v>630</v>
      </c>
    </row>
    <row r="285" spans="1:12" ht="30">
      <c r="A285" s="126" t="s">
        <v>658</v>
      </c>
      <c r="B285" s="196"/>
      <c r="C285" s="128"/>
      <c r="D285" s="121">
        <v>13757</v>
      </c>
      <c r="E285" s="121">
        <v>2</v>
      </c>
      <c r="F285" s="121">
        <v>3</v>
      </c>
      <c r="G285" s="122">
        <f t="shared" si="29"/>
        <v>6</v>
      </c>
      <c r="H285" s="121" t="s">
        <v>639</v>
      </c>
      <c r="I285" s="129">
        <v>150</v>
      </c>
      <c r="J285" s="109">
        <f t="shared" si="30"/>
        <v>900</v>
      </c>
      <c r="K285" s="663"/>
      <c r="L285" s="121" t="s">
        <v>630</v>
      </c>
    </row>
    <row r="286" spans="1:12">
      <c r="A286" s="126" t="s">
        <v>752</v>
      </c>
      <c r="B286" s="196"/>
      <c r="C286" s="128"/>
      <c r="D286" s="121">
        <v>12556</v>
      </c>
      <c r="E286" s="121">
        <v>2</v>
      </c>
      <c r="F286" s="121">
        <v>3</v>
      </c>
      <c r="G286" s="122">
        <f t="shared" si="29"/>
        <v>6</v>
      </c>
      <c r="H286" s="121" t="s">
        <v>639</v>
      </c>
      <c r="I286" s="129">
        <v>180</v>
      </c>
      <c r="J286" s="109">
        <f t="shared" si="30"/>
        <v>1080</v>
      </c>
      <c r="K286" s="663"/>
      <c r="L286" s="121" t="s">
        <v>630</v>
      </c>
    </row>
    <row r="287" spans="1:12">
      <c r="A287" s="118" t="s">
        <v>662</v>
      </c>
      <c r="B287" s="196"/>
      <c r="C287" s="141"/>
      <c r="D287" s="121">
        <v>13757</v>
      </c>
      <c r="E287" s="121">
        <v>2</v>
      </c>
      <c r="F287" s="121">
        <v>3</v>
      </c>
      <c r="G287" s="122">
        <f t="shared" si="29"/>
        <v>6</v>
      </c>
      <c r="H287" s="121" t="s">
        <v>639</v>
      </c>
      <c r="I287" s="129">
        <v>150</v>
      </c>
      <c r="J287" s="109">
        <f t="shared" si="30"/>
        <v>900</v>
      </c>
      <c r="K287" s="663"/>
      <c r="L287" s="121" t="s">
        <v>630</v>
      </c>
    </row>
    <row r="288" spans="1:12" ht="90">
      <c r="A288" s="118" t="s">
        <v>753</v>
      </c>
      <c r="B288" s="196"/>
      <c r="C288" s="141" t="s">
        <v>754</v>
      </c>
      <c r="D288" s="121">
        <v>22888</v>
      </c>
      <c r="E288" s="121">
        <v>1</v>
      </c>
      <c r="F288" s="121">
        <v>3</v>
      </c>
      <c r="G288" s="122">
        <f t="shared" si="29"/>
        <v>3</v>
      </c>
      <c r="H288" s="121" t="s">
        <v>639</v>
      </c>
      <c r="I288" s="129">
        <v>1162.5</v>
      </c>
      <c r="J288" s="109">
        <f t="shared" si="30"/>
        <v>3487.5</v>
      </c>
      <c r="K288" s="663"/>
      <c r="L288" s="121" t="s">
        <v>630</v>
      </c>
    </row>
    <row r="289" spans="1:12" ht="45">
      <c r="A289" s="118" t="s">
        <v>755</v>
      </c>
      <c r="B289" s="196"/>
      <c r="C289" s="141"/>
      <c r="D289" s="121">
        <v>22888</v>
      </c>
      <c r="E289" s="121">
        <v>200</v>
      </c>
      <c r="F289" s="121">
        <v>3</v>
      </c>
      <c r="G289" s="122">
        <f t="shared" si="29"/>
        <v>600</v>
      </c>
      <c r="H289" s="121" t="s">
        <v>639</v>
      </c>
      <c r="I289" s="129">
        <v>17.5</v>
      </c>
      <c r="J289" s="109">
        <f t="shared" si="30"/>
        <v>10500</v>
      </c>
      <c r="K289" s="663"/>
      <c r="L289" s="121" t="s">
        <v>630</v>
      </c>
    </row>
    <row r="290" spans="1:12" ht="90">
      <c r="A290" s="118" t="s">
        <v>756</v>
      </c>
      <c r="B290" s="196"/>
      <c r="C290" s="141" t="s">
        <v>757</v>
      </c>
      <c r="D290" s="121">
        <v>22888</v>
      </c>
      <c r="E290" s="121">
        <v>67</v>
      </c>
      <c r="F290" s="121">
        <v>3</v>
      </c>
      <c r="G290" s="122">
        <f t="shared" si="29"/>
        <v>201</v>
      </c>
      <c r="H290" s="121" t="s">
        <v>639</v>
      </c>
      <c r="I290" s="129">
        <v>35</v>
      </c>
      <c r="J290" s="109">
        <f t="shared" si="30"/>
        <v>7035</v>
      </c>
      <c r="K290" s="663"/>
      <c r="L290" s="121" t="s">
        <v>630</v>
      </c>
    </row>
    <row r="291" spans="1:12" ht="30">
      <c r="A291" s="118" t="s">
        <v>758</v>
      </c>
      <c r="B291" s="196"/>
      <c r="C291" s="141" t="s">
        <v>759</v>
      </c>
      <c r="D291" s="121">
        <v>12556</v>
      </c>
      <c r="E291" s="121">
        <v>1</v>
      </c>
      <c r="F291" s="121">
        <v>3</v>
      </c>
      <c r="G291" s="122">
        <f t="shared" si="29"/>
        <v>3</v>
      </c>
      <c r="H291" s="121" t="s">
        <v>639</v>
      </c>
      <c r="I291" s="129">
        <v>30</v>
      </c>
      <c r="J291" s="109">
        <f t="shared" si="30"/>
        <v>90</v>
      </c>
      <c r="K291" s="663"/>
      <c r="L291" s="121" t="s">
        <v>630</v>
      </c>
    </row>
    <row r="292" spans="1:12" ht="105">
      <c r="A292" s="152" t="s">
        <v>665</v>
      </c>
      <c r="B292" s="196"/>
      <c r="C292" s="141" t="s">
        <v>666</v>
      </c>
      <c r="D292" s="121">
        <v>25062</v>
      </c>
      <c r="E292" s="151">
        <v>1</v>
      </c>
      <c r="F292" s="151">
        <v>3</v>
      </c>
      <c r="G292" s="154">
        <f t="shared" si="29"/>
        <v>3</v>
      </c>
      <c r="H292" s="151" t="s">
        <v>639</v>
      </c>
      <c r="I292" s="155">
        <v>650</v>
      </c>
      <c r="J292" s="156">
        <f t="shared" si="30"/>
        <v>1950</v>
      </c>
      <c r="K292" s="663"/>
      <c r="L292" s="121" t="s">
        <v>630</v>
      </c>
    </row>
    <row r="293" spans="1:12" ht="285">
      <c r="A293" s="118" t="s">
        <v>667</v>
      </c>
      <c r="B293" s="196"/>
      <c r="C293" s="141" t="s">
        <v>668</v>
      </c>
      <c r="D293" s="121">
        <v>12556</v>
      </c>
      <c r="E293" s="121">
        <v>1</v>
      </c>
      <c r="F293" s="121">
        <v>3</v>
      </c>
      <c r="G293" s="122">
        <f t="shared" si="29"/>
        <v>3</v>
      </c>
      <c r="H293" s="151" t="s">
        <v>639</v>
      </c>
      <c r="I293" s="129">
        <v>1200</v>
      </c>
      <c r="J293" s="109">
        <f t="shared" si="30"/>
        <v>3600</v>
      </c>
      <c r="K293" s="663"/>
      <c r="L293" s="121" t="s">
        <v>630</v>
      </c>
    </row>
    <row r="294" spans="1:12" ht="75">
      <c r="A294" s="701" t="s">
        <v>773</v>
      </c>
      <c r="B294" s="701"/>
      <c r="C294" s="141" t="s">
        <v>868</v>
      </c>
      <c r="D294" s="121">
        <v>26344</v>
      </c>
      <c r="E294" s="121">
        <v>1</v>
      </c>
      <c r="F294" s="121">
        <v>3</v>
      </c>
      <c r="G294" s="122">
        <v>3</v>
      </c>
      <c r="H294" s="121" t="s">
        <v>639</v>
      </c>
      <c r="I294" s="129">
        <v>1400</v>
      </c>
      <c r="J294" s="109">
        <f t="shared" si="30"/>
        <v>4200</v>
      </c>
      <c r="K294" s="663"/>
      <c r="L294" s="121" t="s">
        <v>630</v>
      </c>
    </row>
    <row r="295" spans="1:12" ht="90">
      <c r="A295" s="118" t="s">
        <v>779</v>
      </c>
      <c r="B295" s="196"/>
      <c r="C295" s="141" t="s">
        <v>780</v>
      </c>
      <c r="D295" s="121">
        <v>17019</v>
      </c>
      <c r="E295" s="121">
        <v>4</v>
      </c>
      <c r="F295" s="121">
        <v>3</v>
      </c>
      <c r="G295" s="122">
        <f t="shared" si="29"/>
        <v>12</v>
      </c>
      <c r="H295" s="121" t="s">
        <v>639</v>
      </c>
      <c r="I295" s="129">
        <v>190</v>
      </c>
      <c r="J295" s="109">
        <f t="shared" si="30"/>
        <v>2280</v>
      </c>
      <c r="K295" s="663"/>
      <c r="L295" s="121" t="s">
        <v>630</v>
      </c>
    </row>
    <row r="296" spans="1:12" ht="30">
      <c r="A296" s="111" t="s">
        <v>681</v>
      </c>
      <c r="B296" s="177"/>
      <c r="C296" s="124"/>
      <c r="D296" s="114"/>
      <c r="E296" s="114"/>
      <c r="F296" s="114"/>
      <c r="G296" s="115"/>
      <c r="H296" s="114"/>
      <c r="I296" s="125"/>
      <c r="J296" s="114"/>
      <c r="K296" s="117">
        <f>SUM(J297:J298)</f>
        <v>4800</v>
      </c>
      <c r="L296" s="114"/>
    </row>
    <row r="297" spans="1:12" ht="30">
      <c r="A297" s="144" t="s">
        <v>682</v>
      </c>
      <c r="B297" s="178"/>
      <c r="C297" s="141"/>
      <c r="D297" s="121">
        <v>14591</v>
      </c>
      <c r="E297" s="146">
        <v>4</v>
      </c>
      <c r="F297" s="121">
        <v>3</v>
      </c>
      <c r="G297" s="122">
        <f>E297*F297</f>
        <v>12</v>
      </c>
      <c r="H297" s="121" t="s">
        <v>639</v>
      </c>
      <c r="I297" s="129">
        <v>220</v>
      </c>
      <c r="J297" s="109">
        <f>I297*G297</f>
        <v>2640</v>
      </c>
      <c r="K297" s="658"/>
      <c r="L297" s="121" t="s">
        <v>630</v>
      </c>
    </row>
    <row r="298" spans="1:12" ht="45">
      <c r="A298" s="144" t="s">
        <v>683</v>
      </c>
      <c r="B298" s="178"/>
      <c r="C298" s="141"/>
      <c r="D298" s="121">
        <v>25631</v>
      </c>
      <c r="E298" s="146">
        <v>4</v>
      </c>
      <c r="F298" s="121">
        <v>3</v>
      </c>
      <c r="G298" s="122">
        <f>E298*F298</f>
        <v>12</v>
      </c>
      <c r="H298" s="121" t="s">
        <v>639</v>
      </c>
      <c r="I298" s="129">
        <v>180</v>
      </c>
      <c r="J298" s="109">
        <f t="shared" ref="J298" si="31">I298*G298</f>
        <v>2160</v>
      </c>
      <c r="K298" s="663"/>
      <c r="L298" s="121" t="s">
        <v>630</v>
      </c>
    </row>
    <row r="299" spans="1:12">
      <c r="A299" s="197" t="s">
        <v>685</v>
      </c>
      <c r="B299" s="159"/>
      <c r="C299" s="124"/>
      <c r="D299" s="114"/>
      <c r="E299" s="114"/>
      <c r="F299" s="114"/>
      <c r="G299" s="115"/>
      <c r="H299" s="114"/>
      <c r="I299" s="125"/>
      <c r="J299" s="114"/>
      <c r="K299" s="117">
        <f>SUM(J300:J304)</f>
        <v>119600</v>
      </c>
      <c r="L299" s="114"/>
    </row>
    <row r="300" spans="1:12">
      <c r="A300" s="152" t="s">
        <v>686</v>
      </c>
      <c r="B300" s="198"/>
      <c r="C300" s="660" t="s">
        <v>789</v>
      </c>
      <c r="D300" s="121">
        <v>3697</v>
      </c>
      <c r="E300" s="121">
        <v>200</v>
      </c>
      <c r="F300" s="121">
        <v>3</v>
      </c>
      <c r="G300" s="122">
        <f t="shared" ref="G300:G304" si="32">E300*F300</f>
        <v>600</v>
      </c>
      <c r="H300" s="121" t="s">
        <v>692</v>
      </c>
      <c r="I300" s="129">
        <v>65</v>
      </c>
      <c r="J300" s="109">
        <f>I300*G300</f>
        <v>39000</v>
      </c>
      <c r="K300" s="658"/>
      <c r="L300" s="121" t="s">
        <v>630</v>
      </c>
    </row>
    <row r="301" spans="1:12">
      <c r="A301" s="118" t="s">
        <v>790</v>
      </c>
      <c r="B301" s="180"/>
      <c r="C301" s="662"/>
      <c r="D301" s="121">
        <v>3697</v>
      </c>
      <c r="E301" s="121">
        <v>200</v>
      </c>
      <c r="F301" s="121">
        <v>2</v>
      </c>
      <c r="G301" s="122">
        <f t="shared" si="32"/>
        <v>400</v>
      </c>
      <c r="H301" s="121" t="s">
        <v>692</v>
      </c>
      <c r="I301" s="129">
        <v>75</v>
      </c>
      <c r="J301" s="109">
        <f t="shared" ref="J301:J304" si="33">I301*G301</f>
        <v>30000</v>
      </c>
      <c r="K301" s="663"/>
      <c r="L301" s="121" t="s">
        <v>630</v>
      </c>
    </row>
    <row r="302" spans="1:12" ht="120">
      <c r="A302" s="118" t="s">
        <v>698</v>
      </c>
      <c r="B302" s="180"/>
      <c r="C302" s="141" t="s">
        <v>791</v>
      </c>
      <c r="D302" s="121">
        <v>3697</v>
      </c>
      <c r="E302" s="121">
        <v>200</v>
      </c>
      <c r="F302" s="121">
        <v>1</v>
      </c>
      <c r="G302" s="122">
        <f t="shared" si="32"/>
        <v>200</v>
      </c>
      <c r="H302" s="121" t="s">
        <v>692</v>
      </c>
      <c r="I302" s="129">
        <v>85</v>
      </c>
      <c r="J302" s="109">
        <f t="shared" si="33"/>
        <v>17000</v>
      </c>
      <c r="K302" s="663"/>
      <c r="L302" s="121" t="s">
        <v>630</v>
      </c>
    </row>
    <row r="303" spans="1:12" ht="75">
      <c r="A303" s="118" t="s">
        <v>792</v>
      </c>
      <c r="B303" s="180"/>
      <c r="C303" s="141" t="s">
        <v>793</v>
      </c>
      <c r="D303" s="121">
        <v>3697</v>
      </c>
      <c r="E303" s="121">
        <v>200</v>
      </c>
      <c r="F303" s="121">
        <v>3</v>
      </c>
      <c r="G303" s="122">
        <f t="shared" si="32"/>
        <v>600</v>
      </c>
      <c r="H303" s="121" t="s">
        <v>692</v>
      </c>
      <c r="I303" s="129">
        <v>34</v>
      </c>
      <c r="J303" s="109">
        <f t="shared" si="33"/>
        <v>20400</v>
      </c>
      <c r="K303" s="663"/>
      <c r="L303" s="121" t="s">
        <v>630</v>
      </c>
    </row>
    <row r="304" spans="1:12">
      <c r="A304" s="164" t="s">
        <v>796</v>
      </c>
      <c r="B304" s="166"/>
      <c r="C304" s="141"/>
      <c r="D304" s="121">
        <v>3697</v>
      </c>
      <c r="E304" s="121">
        <v>200</v>
      </c>
      <c r="F304" s="121">
        <v>3</v>
      </c>
      <c r="G304" s="122">
        <f t="shared" si="32"/>
        <v>600</v>
      </c>
      <c r="H304" s="121" t="s">
        <v>692</v>
      </c>
      <c r="I304" s="129">
        <v>22</v>
      </c>
      <c r="J304" s="109">
        <f t="shared" si="33"/>
        <v>13200</v>
      </c>
      <c r="K304" s="659"/>
      <c r="L304" s="121" t="s">
        <v>630</v>
      </c>
    </row>
    <row r="305" spans="1:12">
      <c r="A305" s="694" t="s">
        <v>701</v>
      </c>
      <c r="B305" s="695"/>
      <c r="C305" s="124"/>
      <c r="D305" s="114"/>
      <c r="E305" s="114"/>
      <c r="F305" s="114"/>
      <c r="G305" s="115"/>
      <c r="H305" s="114"/>
      <c r="I305" s="125"/>
      <c r="J305" s="114"/>
      <c r="K305" s="117">
        <f>SUM(J307:J315)</f>
        <v>25710</v>
      </c>
      <c r="L305" s="114"/>
    </row>
    <row r="306" spans="1:12">
      <c r="A306" s="673" t="s">
        <v>702</v>
      </c>
      <c r="B306" s="674"/>
      <c r="C306" s="128"/>
      <c r="D306" s="123" t="s">
        <v>703</v>
      </c>
      <c r="E306" s="121"/>
      <c r="F306" s="121"/>
      <c r="G306" s="122"/>
      <c r="H306" s="121"/>
      <c r="I306" s="129"/>
      <c r="J306" s="121"/>
      <c r="K306" s="670"/>
      <c r="L306" s="121" t="s">
        <v>630</v>
      </c>
    </row>
    <row r="307" spans="1:12" ht="60">
      <c r="A307" s="668" t="s">
        <v>704</v>
      </c>
      <c r="B307" s="675"/>
      <c r="C307" s="141" t="s">
        <v>901</v>
      </c>
      <c r="D307" s="121">
        <v>3948</v>
      </c>
      <c r="E307" s="121">
        <v>215</v>
      </c>
      <c r="F307" s="121">
        <v>1</v>
      </c>
      <c r="G307" s="122">
        <f t="shared" ref="G307:G316" si="34">E307*F307</f>
        <v>215</v>
      </c>
      <c r="H307" s="121" t="s">
        <v>706</v>
      </c>
      <c r="I307" s="129">
        <v>30</v>
      </c>
      <c r="J307" s="109">
        <f>I307*G307</f>
        <v>6450</v>
      </c>
      <c r="K307" s="671"/>
      <c r="L307" s="121" t="s">
        <v>630</v>
      </c>
    </row>
    <row r="308" spans="1:12" ht="135">
      <c r="A308" s="668" t="s">
        <v>799</v>
      </c>
      <c r="B308" s="675"/>
      <c r="C308" s="141" t="s">
        <v>800</v>
      </c>
      <c r="D308" s="121">
        <v>138282</v>
      </c>
      <c r="E308" s="121">
        <v>200</v>
      </c>
      <c r="F308" s="121">
        <v>1</v>
      </c>
      <c r="G308" s="122">
        <f t="shared" si="34"/>
        <v>200</v>
      </c>
      <c r="H308" s="121" t="s">
        <v>706</v>
      </c>
      <c r="I308" s="129">
        <v>20</v>
      </c>
      <c r="J308" s="109">
        <f t="shared" ref="J308:J315" si="35">I308*G308</f>
        <v>4000</v>
      </c>
      <c r="K308" s="671"/>
      <c r="L308" s="121" t="s">
        <v>630</v>
      </c>
    </row>
    <row r="309" spans="1:12" ht="405">
      <c r="A309" s="668" t="s">
        <v>883</v>
      </c>
      <c r="B309" s="696"/>
      <c r="C309" s="141" t="s">
        <v>884</v>
      </c>
      <c r="D309" s="121">
        <v>251388</v>
      </c>
      <c r="E309" s="121">
        <v>200</v>
      </c>
      <c r="F309" s="121">
        <v>1</v>
      </c>
      <c r="G309" s="122">
        <v>320</v>
      </c>
      <c r="H309" s="121" t="s">
        <v>706</v>
      </c>
      <c r="I309" s="129">
        <v>25</v>
      </c>
      <c r="J309" s="109">
        <f>I309*G309</f>
        <v>8000</v>
      </c>
      <c r="K309" s="671"/>
      <c r="L309" s="121" t="s">
        <v>630</v>
      </c>
    </row>
    <row r="310" spans="1:12" ht="210">
      <c r="A310" s="668" t="s">
        <v>801</v>
      </c>
      <c r="B310" s="675"/>
      <c r="C310" s="141" t="s">
        <v>802</v>
      </c>
      <c r="D310" s="183">
        <v>94897</v>
      </c>
      <c r="E310" s="121">
        <v>200</v>
      </c>
      <c r="F310" s="121">
        <v>1</v>
      </c>
      <c r="G310" s="122">
        <f t="shared" si="34"/>
        <v>200</v>
      </c>
      <c r="H310" s="121" t="s">
        <v>706</v>
      </c>
      <c r="I310" s="129">
        <v>10</v>
      </c>
      <c r="J310" s="109">
        <f t="shared" si="35"/>
        <v>2000</v>
      </c>
      <c r="K310" s="671"/>
      <c r="L310" s="121" t="s">
        <v>630</v>
      </c>
    </row>
    <row r="311" spans="1:12" ht="135">
      <c r="A311" s="668" t="s">
        <v>803</v>
      </c>
      <c r="B311" s="675"/>
      <c r="C311" s="141" t="s">
        <v>804</v>
      </c>
      <c r="D311" s="121">
        <v>19313</v>
      </c>
      <c r="E311" s="121">
        <v>1</v>
      </c>
      <c r="F311" s="121">
        <v>1</v>
      </c>
      <c r="G311" s="122">
        <f t="shared" si="34"/>
        <v>1</v>
      </c>
      <c r="H311" s="121" t="s">
        <v>709</v>
      </c>
      <c r="I311" s="129">
        <v>2540</v>
      </c>
      <c r="J311" s="109">
        <f t="shared" si="35"/>
        <v>2540</v>
      </c>
      <c r="K311" s="671"/>
      <c r="L311" s="121" t="s">
        <v>630</v>
      </c>
    </row>
    <row r="312" spans="1:12" ht="120">
      <c r="A312" s="668" t="s">
        <v>710</v>
      </c>
      <c r="B312" s="675"/>
      <c r="C312" s="141" t="s">
        <v>805</v>
      </c>
      <c r="D312" s="183">
        <v>19313</v>
      </c>
      <c r="E312" s="121">
        <v>2</v>
      </c>
      <c r="F312" s="121">
        <v>1</v>
      </c>
      <c r="G312" s="122">
        <f t="shared" si="34"/>
        <v>2</v>
      </c>
      <c r="H312" s="121" t="s">
        <v>706</v>
      </c>
      <c r="I312" s="170">
        <v>160</v>
      </c>
      <c r="J312" s="109">
        <f t="shared" si="35"/>
        <v>320</v>
      </c>
      <c r="K312" s="671"/>
      <c r="L312" s="121" t="s">
        <v>630</v>
      </c>
    </row>
    <row r="313" spans="1:12" ht="135">
      <c r="A313" s="668" t="s">
        <v>712</v>
      </c>
      <c r="B313" s="675"/>
      <c r="C313" s="141" t="s">
        <v>806</v>
      </c>
      <c r="D313" s="121">
        <v>150788</v>
      </c>
      <c r="E313" s="121">
        <v>200</v>
      </c>
      <c r="F313" s="121">
        <v>1</v>
      </c>
      <c r="G313" s="122">
        <f t="shared" si="34"/>
        <v>200</v>
      </c>
      <c r="H313" s="121" t="s">
        <v>706</v>
      </c>
      <c r="I313" s="170">
        <v>5</v>
      </c>
      <c r="J313" s="109">
        <f t="shared" si="35"/>
        <v>1000</v>
      </c>
      <c r="K313" s="671"/>
      <c r="L313" s="121" t="s">
        <v>630</v>
      </c>
    </row>
    <row r="314" spans="1:12" ht="75">
      <c r="A314" s="668" t="s">
        <v>714</v>
      </c>
      <c r="B314" s="675"/>
      <c r="C314" s="141" t="s">
        <v>807</v>
      </c>
      <c r="D314" s="183">
        <v>15946</v>
      </c>
      <c r="E314" s="121">
        <v>200</v>
      </c>
      <c r="F314" s="121">
        <v>1</v>
      </c>
      <c r="G314" s="122">
        <f t="shared" si="34"/>
        <v>200</v>
      </c>
      <c r="H314" s="121" t="s">
        <v>706</v>
      </c>
      <c r="I314" s="129">
        <v>1.5</v>
      </c>
      <c r="J314" s="109">
        <f t="shared" si="35"/>
        <v>300</v>
      </c>
      <c r="K314" s="671"/>
      <c r="L314" s="121" t="s">
        <v>630</v>
      </c>
    </row>
    <row r="315" spans="1:12" ht="120">
      <c r="A315" s="668" t="s">
        <v>808</v>
      </c>
      <c r="B315" s="675"/>
      <c r="C315" s="141" t="s">
        <v>809</v>
      </c>
      <c r="D315" s="121">
        <v>32859</v>
      </c>
      <c r="E315" s="121">
        <v>200</v>
      </c>
      <c r="F315" s="121">
        <v>1</v>
      </c>
      <c r="G315" s="122">
        <f t="shared" si="34"/>
        <v>200</v>
      </c>
      <c r="H315" s="121" t="s">
        <v>709</v>
      </c>
      <c r="I315" s="129">
        <v>5.5</v>
      </c>
      <c r="J315" s="109">
        <f t="shared" si="35"/>
        <v>1100</v>
      </c>
      <c r="K315" s="672"/>
      <c r="L315" s="121" t="s">
        <v>630</v>
      </c>
    </row>
    <row r="316" spans="1:12">
      <c r="A316" s="676" t="s">
        <v>631</v>
      </c>
      <c r="B316" s="677"/>
      <c r="C316" s="124"/>
      <c r="D316" s="114"/>
      <c r="E316" s="114"/>
      <c r="F316" s="114"/>
      <c r="G316" s="115">
        <f t="shared" si="34"/>
        <v>0</v>
      </c>
      <c r="H316" s="114"/>
      <c r="I316" s="125"/>
      <c r="J316" s="114"/>
      <c r="K316" s="117">
        <f>SUM(J317:J317)</f>
        <v>24000</v>
      </c>
      <c r="L316" s="114"/>
    </row>
    <row r="317" spans="1:12">
      <c r="A317" s="680" t="s">
        <v>632</v>
      </c>
      <c r="B317" s="681"/>
      <c r="C317" s="128"/>
      <c r="D317" s="121">
        <v>20656</v>
      </c>
      <c r="E317" s="121">
        <v>3</v>
      </c>
      <c r="F317" s="121">
        <v>1</v>
      </c>
      <c r="G317" s="122">
        <v>2</v>
      </c>
      <c r="H317" s="121" t="s">
        <v>633</v>
      </c>
      <c r="I317" s="129">
        <v>12000</v>
      </c>
      <c r="J317" s="109">
        <f>I317*G317</f>
        <v>24000</v>
      </c>
      <c r="K317" s="199"/>
      <c r="L317" s="121" t="s">
        <v>630</v>
      </c>
    </row>
    <row r="318" spans="1:12">
      <c r="A318" s="682" t="s">
        <v>720</v>
      </c>
      <c r="B318" s="683"/>
      <c r="C318" s="124"/>
      <c r="D318" s="114"/>
      <c r="E318" s="114"/>
      <c r="F318" s="114"/>
      <c r="G318" s="114"/>
      <c r="H318" s="114"/>
      <c r="I318" s="125"/>
      <c r="J318" s="114"/>
      <c r="K318" s="117">
        <f>SUM(J319:J320)</f>
        <v>44300</v>
      </c>
      <c r="L318" s="114"/>
    </row>
    <row r="319" spans="1:12" ht="195">
      <c r="A319" s="702" t="s">
        <v>721</v>
      </c>
      <c r="B319" s="669"/>
      <c r="C319" s="141" t="s">
        <v>812</v>
      </c>
      <c r="D319" s="121">
        <v>25089</v>
      </c>
      <c r="E319" s="121">
        <v>15</v>
      </c>
      <c r="F319" s="121">
        <v>1</v>
      </c>
      <c r="G319" s="121">
        <f>E319*F319</f>
        <v>15</v>
      </c>
      <c r="H319" s="121" t="s">
        <v>639</v>
      </c>
      <c r="I319" s="129">
        <v>2000</v>
      </c>
      <c r="J319" s="109">
        <f>I319*G319</f>
        <v>30000</v>
      </c>
      <c r="K319" s="709"/>
      <c r="L319" s="121" t="s">
        <v>630</v>
      </c>
    </row>
    <row r="320" spans="1:12" ht="150">
      <c r="A320" s="668" t="s">
        <v>813</v>
      </c>
      <c r="B320" s="675"/>
      <c r="C320" s="141" t="s">
        <v>814</v>
      </c>
      <c r="D320" s="121">
        <v>25089</v>
      </c>
      <c r="E320" s="121">
        <v>11</v>
      </c>
      <c r="F320" s="121">
        <v>1</v>
      </c>
      <c r="G320" s="121">
        <f>E320*F320</f>
        <v>11</v>
      </c>
      <c r="H320" s="121" t="s">
        <v>639</v>
      </c>
      <c r="I320" s="129">
        <v>1300</v>
      </c>
      <c r="J320" s="109">
        <f t="shared" ref="J320" si="36">I320*G320</f>
        <v>14300</v>
      </c>
      <c r="K320" s="709"/>
      <c r="L320" s="121" t="s">
        <v>630</v>
      </c>
    </row>
    <row r="321" spans="1:12">
      <c r="A321" s="710"/>
      <c r="B321" s="711"/>
      <c r="C321" s="711"/>
      <c r="D321" s="711"/>
      <c r="E321" s="711"/>
      <c r="F321" s="711"/>
      <c r="G321" s="711"/>
      <c r="H321" s="711"/>
      <c r="I321" s="711"/>
      <c r="J321" s="711"/>
      <c r="K321" s="711"/>
      <c r="L321" s="711"/>
    </row>
    <row r="322" spans="1:12" ht="21">
      <c r="A322" s="707" t="s">
        <v>600</v>
      </c>
      <c r="B322" s="708"/>
      <c r="C322" s="128"/>
      <c r="D322" s="121"/>
      <c r="E322" s="121"/>
      <c r="F322" s="121"/>
      <c r="G322" s="122"/>
      <c r="H322" s="121"/>
      <c r="I322" s="129"/>
      <c r="J322" s="121"/>
      <c r="K322" s="110">
        <f>SUM(K323+K327+K331+K348+K351+K357+K368+K370)</f>
        <v>398546.5</v>
      </c>
      <c r="L322" s="121"/>
    </row>
    <row r="323" spans="1:12">
      <c r="A323" s="111" t="s">
        <v>726</v>
      </c>
      <c r="B323" s="112"/>
      <c r="C323" s="124"/>
      <c r="D323" s="114"/>
      <c r="E323" s="114"/>
      <c r="F323" s="114"/>
      <c r="G323" s="115"/>
      <c r="H323" s="114"/>
      <c r="I323" s="125"/>
      <c r="J323" s="114"/>
      <c r="K323" s="117">
        <f>SUM(J324:J326)</f>
        <v>103200</v>
      </c>
      <c r="L323" s="114"/>
    </row>
    <row r="324" spans="1:12">
      <c r="A324" s="118" t="s">
        <v>637</v>
      </c>
      <c r="B324" s="119"/>
      <c r="C324" s="660" t="s">
        <v>638</v>
      </c>
      <c r="D324" s="121">
        <v>9946</v>
      </c>
      <c r="E324" s="121">
        <v>20</v>
      </c>
      <c r="F324" s="121">
        <v>2</v>
      </c>
      <c r="G324" s="122">
        <f>E324*F324</f>
        <v>40</v>
      </c>
      <c r="H324" s="121" t="s">
        <v>639</v>
      </c>
      <c r="I324" s="129">
        <v>260</v>
      </c>
      <c r="J324" s="109">
        <f>I324*G324</f>
        <v>10400</v>
      </c>
      <c r="K324" s="658"/>
      <c r="L324" s="121" t="s">
        <v>630</v>
      </c>
    </row>
    <row r="325" spans="1:12">
      <c r="A325" s="118" t="s">
        <v>640</v>
      </c>
      <c r="B325" s="119"/>
      <c r="C325" s="661"/>
      <c r="D325" s="121">
        <v>9946</v>
      </c>
      <c r="E325" s="121">
        <v>125</v>
      </c>
      <c r="F325" s="121">
        <v>2</v>
      </c>
      <c r="G325" s="122">
        <f>E325*F325</f>
        <v>250</v>
      </c>
      <c r="H325" s="121" t="s">
        <v>639</v>
      </c>
      <c r="I325" s="129">
        <v>340</v>
      </c>
      <c r="J325" s="109">
        <f t="shared" ref="J325:J326" si="37">I325*G325</f>
        <v>85000</v>
      </c>
      <c r="K325" s="663"/>
      <c r="L325" s="121" t="s">
        <v>630</v>
      </c>
    </row>
    <row r="326" spans="1:12">
      <c r="A326" s="118" t="s">
        <v>727</v>
      </c>
      <c r="B326" s="119"/>
      <c r="C326" s="662"/>
      <c r="D326" s="121">
        <v>9946</v>
      </c>
      <c r="E326" s="121">
        <v>10</v>
      </c>
      <c r="F326" s="121">
        <v>2</v>
      </c>
      <c r="G326" s="122">
        <f>E326*F326</f>
        <v>20</v>
      </c>
      <c r="H326" s="121" t="s">
        <v>639</v>
      </c>
      <c r="I326" s="129">
        <v>390</v>
      </c>
      <c r="J326" s="109">
        <f t="shared" si="37"/>
        <v>7800</v>
      </c>
      <c r="K326" s="659"/>
      <c r="L326" s="121" t="s">
        <v>630</v>
      </c>
    </row>
    <row r="327" spans="1:12">
      <c r="A327" s="111" t="s">
        <v>728</v>
      </c>
      <c r="B327" s="112"/>
      <c r="C327" s="124"/>
      <c r="D327" s="114"/>
      <c r="E327" s="114"/>
      <c r="F327" s="114"/>
      <c r="G327" s="115"/>
      <c r="H327" s="114"/>
      <c r="I327" s="125"/>
      <c r="J327" s="114"/>
      <c r="K327" s="117">
        <f>SUM(J328:J330)</f>
        <v>32400</v>
      </c>
      <c r="L327" s="114"/>
    </row>
    <row r="328" spans="1:12" ht="210">
      <c r="A328" s="118" t="s">
        <v>643</v>
      </c>
      <c r="B328" s="119"/>
      <c r="C328" s="141" t="s">
        <v>729</v>
      </c>
      <c r="D328" s="121">
        <v>22721</v>
      </c>
      <c r="E328" s="121">
        <v>1</v>
      </c>
      <c r="F328" s="121">
        <v>3</v>
      </c>
      <c r="G328" s="122">
        <f t="shared" ref="G328:G330" si="38">E328*F328</f>
        <v>3</v>
      </c>
      <c r="H328" s="121" t="s">
        <v>639</v>
      </c>
      <c r="I328" s="129">
        <v>10000</v>
      </c>
      <c r="J328" s="109">
        <f>I328*G328</f>
        <v>30000</v>
      </c>
      <c r="K328" s="658"/>
      <c r="L328" s="121" t="s">
        <v>630</v>
      </c>
    </row>
    <row r="329" spans="1:12" ht="105">
      <c r="A329" s="118" t="s">
        <v>900</v>
      </c>
      <c r="B329" s="119"/>
      <c r="C329" s="141" t="s">
        <v>648</v>
      </c>
      <c r="D329" s="121">
        <v>22721</v>
      </c>
      <c r="E329" s="121">
        <v>1</v>
      </c>
      <c r="F329" s="121">
        <v>2</v>
      </c>
      <c r="G329" s="122">
        <f t="shared" si="38"/>
        <v>2</v>
      </c>
      <c r="H329" s="121" t="s">
        <v>639</v>
      </c>
      <c r="I329" s="129">
        <v>600</v>
      </c>
      <c r="J329" s="109">
        <f t="shared" ref="J329:J330" si="39">I329*G329</f>
        <v>1200</v>
      </c>
      <c r="K329" s="663"/>
      <c r="L329" s="121" t="s">
        <v>630</v>
      </c>
    </row>
    <row r="330" spans="1:12" ht="105">
      <c r="A330" s="118" t="s">
        <v>732</v>
      </c>
      <c r="B330" s="119"/>
      <c r="C330" s="141" t="s">
        <v>648</v>
      </c>
      <c r="D330" s="121">
        <v>22721</v>
      </c>
      <c r="E330" s="121">
        <v>1</v>
      </c>
      <c r="F330" s="121">
        <v>2</v>
      </c>
      <c r="G330" s="122">
        <f t="shared" si="38"/>
        <v>2</v>
      </c>
      <c r="H330" s="121" t="s">
        <v>639</v>
      </c>
      <c r="I330" s="129">
        <v>600</v>
      </c>
      <c r="J330" s="109">
        <f t="shared" si="39"/>
        <v>1200</v>
      </c>
      <c r="K330" s="663"/>
      <c r="L330" s="121" t="s">
        <v>630</v>
      </c>
    </row>
    <row r="331" spans="1:12">
      <c r="A331" s="142" t="s">
        <v>651</v>
      </c>
      <c r="B331" s="143"/>
      <c r="C331" s="113"/>
      <c r="D331" s="114"/>
      <c r="E331" s="114"/>
      <c r="F331" s="114"/>
      <c r="G331" s="115"/>
      <c r="H331" s="114"/>
      <c r="I331" s="125"/>
      <c r="J331" s="114"/>
      <c r="K331" s="117">
        <f>SUM(J332:J347)</f>
        <v>48136.5</v>
      </c>
      <c r="L331" s="114"/>
    </row>
    <row r="332" spans="1:12" ht="30">
      <c r="A332" s="126" t="s">
        <v>743</v>
      </c>
      <c r="B332" s="196"/>
      <c r="C332" s="128" t="s">
        <v>744</v>
      </c>
      <c r="D332" s="121">
        <v>22888</v>
      </c>
      <c r="E332" s="121">
        <v>1</v>
      </c>
      <c r="F332" s="121">
        <v>3</v>
      </c>
      <c r="G332" s="122">
        <f t="shared" ref="G332:G345" si="40">E332*F332</f>
        <v>3</v>
      </c>
      <c r="H332" s="121" t="s">
        <v>639</v>
      </c>
      <c r="I332" s="129">
        <v>40</v>
      </c>
      <c r="J332" s="109">
        <f>I332*G332</f>
        <v>120</v>
      </c>
      <c r="K332" s="658"/>
      <c r="L332" s="121" t="s">
        <v>630</v>
      </c>
    </row>
    <row r="333" spans="1:12" ht="75">
      <c r="A333" s="118" t="s">
        <v>745</v>
      </c>
      <c r="B333" s="196"/>
      <c r="C333" s="141" t="s">
        <v>746</v>
      </c>
      <c r="D333" s="121">
        <v>14591</v>
      </c>
      <c r="E333" s="121">
        <v>11</v>
      </c>
      <c r="F333" s="121">
        <v>3</v>
      </c>
      <c r="G333" s="122">
        <f>E333*F333</f>
        <v>33</v>
      </c>
      <c r="H333" s="121" t="s">
        <v>639</v>
      </c>
      <c r="I333" s="129">
        <v>62</v>
      </c>
      <c r="J333" s="109">
        <f t="shared" ref="J333:J347" si="41">I333*G333</f>
        <v>2046</v>
      </c>
      <c r="K333" s="663"/>
      <c r="L333" s="121" t="s">
        <v>630</v>
      </c>
    </row>
    <row r="334" spans="1:12" ht="90">
      <c r="A334" s="118" t="s">
        <v>654</v>
      </c>
      <c r="B334" s="196"/>
      <c r="C334" s="141" t="s">
        <v>747</v>
      </c>
      <c r="D334" s="121">
        <v>14591</v>
      </c>
      <c r="E334" s="121">
        <v>6</v>
      </c>
      <c r="F334" s="121">
        <v>3</v>
      </c>
      <c r="G334" s="122">
        <f t="shared" si="40"/>
        <v>18</v>
      </c>
      <c r="H334" s="121" t="s">
        <v>639</v>
      </c>
      <c r="I334" s="129">
        <v>41</v>
      </c>
      <c r="J334" s="109">
        <f t="shared" si="41"/>
        <v>738</v>
      </c>
      <c r="K334" s="663"/>
      <c r="L334" s="121" t="s">
        <v>630</v>
      </c>
    </row>
    <row r="335" spans="1:12">
      <c r="A335" s="118" t="s">
        <v>748</v>
      </c>
      <c r="B335" s="196"/>
      <c r="C335" s="141" t="s">
        <v>749</v>
      </c>
      <c r="D335" s="121">
        <v>22888</v>
      </c>
      <c r="E335" s="121">
        <v>1</v>
      </c>
      <c r="F335" s="121">
        <v>3</v>
      </c>
      <c r="G335" s="122">
        <f t="shared" si="40"/>
        <v>3</v>
      </c>
      <c r="H335" s="121" t="s">
        <v>639</v>
      </c>
      <c r="I335" s="129">
        <v>25</v>
      </c>
      <c r="J335" s="109">
        <f t="shared" si="41"/>
        <v>75</v>
      </c>
      <c r="K335" s="663"/>
      <c r="L335" s="121" t="s">
        <v>630</v>
      </c>
    </row>
    <row r="336" spans="1:12" ht="30">
      <c r="A336" s="118" t="s">
        <v>750</v>
      </c>
      <c r="B336" s="196"/>
      <c r="C336" s="141" t="s">
        <v>751</v>
      </c>
      <c r="D336" s="121">
        <v>22888</v>
      </c>
      <c r="E336" s="121">
        <v>1</v>
      </c>
      <c r="F336" s="121">
        <v>3</v>
      </c>
      <c r="G336" s="122">
        <f t="shared" si="40"/>
        <v>3</v>
      </c>
      <c r="H336" s="121" t="s">
        <v>639</v>
      </c>
      <c r="I336" s="129">
        <v>140</v>
      </c>
      <c r="J336" s="109">
        <f t="shared" si="41"/>
        <v>420</v>
      </c>
      <c r="K336" s="663"/>
      <c r="L336" s="121" t="s">
        <v>630</v>
      </c>
    </row>
    <row r="337" spans="1:12" ht="30">
      <c r="A337" s="126" t="s">
        <v>658</v>
      </c>
      <c r="B337" s="196"/>
      <c r="C337" s="128"/>
      <c r="D337" s="121">
        <v>13757</v>
      </c>
      <c r="E337" s="121">
        <v>2</v>
      </c>
      <c r="F337" s="121">
        <v>3</v>
      </c>
      <c r="G337" s="122">
        <f t="shared" si="40"/>
        <v>6</v>
      </c>
      <c r="H337" s="121" t="s">
        <v>639</v>
      </c>
      <c r="I337" s="129">
        <v>150</v>
      </c>
      <c r="J337" s="109">
        <f t="shared" si="41"/>
        <v>900</v>
      </c>
      <c r="K337" s="663"/>
      <c r="L337" s="121" t="s">
        <v>630</v>
      </c>
    </row>
    <row r="338" spans="1:12">
      <c r="A338" s="126" t="s">
        <v>752</v>
      </c>
      <c r="B338" s="196"/>
      <c r="C338" s="128"/>
      <c r="D338" s="121">
        <v>12556</v>
      </c>
      <c r="E338" s="121">
        <v>2</v>
      </c>
      <c r="F338" s="121">
        <v>3</v>
      </c>
      <c r="G338" s="122">
        <f t="shared" si="40"/>
        <v>6</v>
      </c>
      <c r="H338" s="121" t="s">
        <v>639</v>
      </c>
      <c r="I338" s="129">
        <v>180</v>
      </c>
      <c r="J338" s="109">
        <f t="shared" si="41"/>
        <v>1080</v>
      </c>
      <c r="K338" s="663"/>
      <c r="L338" s="121" t="s">
        <v>630</v>
      </c>
    </row>
    <row r="339" spans="1:12">
      <c r="A339" s="118" t="s">
        <v>662</v>
      </c>
      <c r="B339" s="196"/>
      <c r="C339" s="141"/>
      <c r="D339" s="121">
        <v>13757</v>
      </c>
      <c r="E339" s="121">
        <v>2</v>
      </c>
      <c r="F339" s="121">
        <v>3</v>
      </c>
      <c r="G339" s="122">
        <f t="shared" si="40"/>
        <v>6</v>
      </c>
      <c r="H339" s="121" t="s">
        <v>639</v>
      </c>
      <c r="I339" s="129">
        <v>150</v>
      </c>
      <c r="J339" s="109">
        <f t="shared" si="41"/>
        <v>900</v>
      </c>
      <c r="K339" s="663"/>
      <c r="L339" s="121" t="s">
        <v>630</v>
      </c>
    </row>
    <row r="340" spans="1:12" ht="90">
      <c r="A340" s="118" t="s">
        <v>753</v>
      </c>
      <c r="B340" s="196"/>
      <c r="C340" s="141" t="s">
        <v>754</v>
      </c>
      <c r="D340" s="121">
        <v>22888</v>
      </c>
      <c r="E340" s="121">
        <v>1</v>
      </c>
      <c r="F340" s="121">
        <v>3</v>
      </c>
      <c r="G340" s="122">
        <f t="shared" si="40"/>
        <v>3</v>
      </c>
      <c r="H340" s="121"/>
      <c r="I340" s="129">
        <v>1162.5</v>
      </c>
      <c r="J340" s="109">
        <f t="shared" si="41"/>
        <v>3487.5</v>
      </c>
      <c r="K340" s="663"/>
      <c r="L340" s="121" t="s">
        <v>630</v>
      </c>
    </row>
    <row r="341" spans="1:12" ht="45">
      <c r="A341" s="118" t="s">
        <v>755</v>
      </c>
      <c r="B341" s="196"/>
      <c r="C341" s="141"/>
      <c r="D341" s="121">
        <v>22888</v>
      </c>
      <c r="E341" s="121">
        <v>300</v>
      </c>
      <c r="F341" s="121">
        <v>3</v>
      </c>
      <c r="G341" s="122">
        <f t="shared" si="40"/>
        <v>900</v>
      </c>
      <c r="H341" s="121" t="s">
        <v>639</v>
      </c>
      <c r="I341" s="129">
        <v>17.5</v>
      </c>
      <c r="J341" s="109">
        <f t="shared" si="41"/>
        <v>15750</v>
      </c>
      <c r="K341" s="663"/>
      <c r="L341" s="121" t="s">
        <v>630</v>
      </c>
    </row>
    <row r="342" spans="1:12" ht="90">
      <c r="A342" s="118" t="s">
        <v>756</v>
      </c>
      <c r="B342" s="196"/>
      <c r="C342" s="141" t="s">
        <v>902</v>
      </c>
      <c r="D342" s="121">
        <v>22888</v>
      </c>
      <c r="E342" s="121">
        <v>100</v>
      </c>
      <c r="F342" s="121">
        <v>3</v>
      </c>
      <c r="G342" s="122">
        <f t="shared" si="40"/>
        <v>300</v>
      </c>
      <c r="H342" s="121" t="s">
        <v>639</v>
      </c>
      <c r="I342" s="129">
        <v>35</v>
      </c>
      <c r="J342" s="109">
        <f t="shared" si="41"/>
        <v>10500</v>
      </c>
      <c r="K342" s="663"/>
      <c r="L342" s="121" t="s">
        <v>630</v>
      </c>
    </row>
    <row r="343" spans="1:12" ht="30">
      <c r="A343" s="118" t="s">
        <v>758</v>
      </c>
      <c r="B343" s="196"/>
      <c r="C343" s="141" t="s">
        <v>759</v>
      </c>
      <c r="D343" s="121">
        <v>12556</v>
      </c>
      <c r="E343" s="121">
        <v>1</v>
      </c>
      <c r="F343" s="121">
        <v>3</v>
      </c>
      <c r="G343" s="122">
        <f t="shared" si="40"/>
        <v>3</v>
      </c>
      <c r="H343" s="121" t="s">
        <v>639</v>
      </c>
      <c r="I343" s="129">
        <v>30</v>
      </c>
      <c r="J343" s="109">
        <f t="shared" si="41"/>
        <v>90</v>
      </c>
      <c r="K343" s="663"/>
      <c r="L343" s="121" t="s">
        <v>630</v>
      </c>
    </row>
    <row r="344" spans="1:12" ht="105">
      <c r="A344" s="152" t="s">
        <v>665</v>
      </c>
      <c r="B344" s="196"/>
      <c r="C344" s="141" t="s">
        <v>666</v>
      </c>
      <c r="D344" s="121">
        <v>25062</v>
      </c>
      <c r="E344" s="151">
        <v>1</v>
      </c>
      <c r="F344" s="151">
        <v>3</v>
      </c>
      <c r="G344" s="154">
        <f t="shared" si="40"/>
        <v>3</v>
      </c>
      <c r="H344" s="151" t="s">
        <v>639</v>
      </c>
      <c r="I344" s="155">
        <v>650</v>
      </c>
      <c r="J344" s="156">
        <f t="shared" si="41"/>
        <v>1950</v>
      </c>
      <c r="K344" s="663"/>
      <c r="L344" s="121" t="s">
        <v>630</v>
      </c>
    </row>
    <row r="345" spans="1:12" ht="285">
      <c r="A345" s="118" t="s">
        <v>667</v>
      </c>
      <c r="B345" s="196"/>
      <c r="C345" s="141" t="s">
        <v>668</v>
      </c>
      <c r="D345" s="121">
        <v>12556</v>
      </c>
      <c r="E345" s="121">
        <v>1</v>
      </c>
      <c r="F345" s="121">
        <v>3</v>
      </c>
      <c r="G345" s="122">
        <f t="shared" si="40"/>
        <v>3</v>
      </c>
      <c r="H345" s="151" t="s">
        <v>639</v>
      </c>
      <c r="I345" s="129">
        <v>1200</v>
      </c>
      <c r="J345" s="109">
        <f t="shared" si="41"/>
        <v>3600</v>
      </c>
      <c r="K345" s="663"/>
      <c r="L345" s="121" t="s">
        <v>630</v>
      </c>
    </row>
    <row r="346" spans="1:12" ht="75">
      <c r="A346" s="701" t="s">
        <v>773</v>
      </c>
      <c r="B346" s="701"/>
      <c r="C346" s="141" t="s">
        <v>868</v>
      </c>
      <c r="D346" s="121">
        <v>26344</v>
      </c>
      <c r="E346" s="121">
        <v>1</v>
      </c>
      <c r="F346" s="121">
        <v>3</v>
      </c>
      <c r="G346" s="122">
        <v>3</v>
      </c>
      <c r="H346" s="121" t="s">
        <v>639</v>
      </c>
      <c r="I346" s="129">
        <v>1400</v>
      </c>
      <c r="J346" s="109">
        <f t="shared" si="41"/>
        <v>4200</v>
      </c>
      <c r="K346" s="663"/>
      <c r="L346" s="121" t="s">
        <v>630</v>
      </c>
    </row>
    <row r="347" spans="1:12" ht="90">
      <c r="A347" s="118" t="s">
        <v>779</v>
      </c>
      <c r="B347" s="196"/>
      <c r="C347" s="141" t="s">
        <v>780</v>
      </c>
      <c r="D347" s="121">
        <v>17019</v>
      </c>
      <c r="E347" s="121">
        <v>4</v>
      </c>
      <c r="F347" s="121">
        <v>3</v>
      </c>
      <c r="G347" s="122">
        <f t="shared" ref="G347" si="42">E347*F347</f>
        <v>12</v>
      </c>
      <c r="H347" s="121" t="s">
        <v>639</v>
      </c>
      <c r="I347" s="129">
        <v>190</v>
      </c>
      <c r="J347" s="109">
        <f t="shared" si="41"/>
        <v>2280</v>
      </c>
      <c r="K347" s="663"/>
      <c r="L347" s="121" t="s">
        <v>630</v>
      </c>
    </row>
    <row r="348" spans="1:12" ht="30">
      <c r="A348" s="111" t="s">
        <v>681</v>
      </c>
      <c r="B348" s="177"/>
      <c r="C348" s="124"/>
      <c r="D348" s="114"/>
      <c r="E348" s="114"/>
      <c r="F348" s="114"/>
      <c r="G348" s="115"/>
      <c r="H348" s="114"/>
      <c r="I348" s="125"/>
      <c r="J348" s="114"/>
      <c r="K348" s="117">
        <f>SUM(J349:J350)</f>
        <v>3200</v>
      </c>
      <c r="L348" s="114"/>
    </row>
    <row r="349" spans="1:12" ht="30">
      <c r="A349" s="144" t="s">
        <v>682</v>
      </c>
      <c r="B349" s="178"/>
      <c r="C349" s="141"/>
      <c r="D349" s="121">
        <v>14591</v>
      </c>
      <c r="E349" s="146">
        <v>4</v>
      </c>
      <c r="F349" s="121">
        <v>2</v>
      </c>
      <c r="G349" s="122">
        <f>E349*F349</f>
        <v>8</v>
      </c>
      <c r="H349" s="121" t="s">
        <v>639</v>
      </c>
      <c r="I349" s="129">
        <v>220</v>
      </c>
      <c r="J349" s="109">
        <f>I349*G349</f>
        <v>1760</v>
      </c>
      <c r="K349" s="658"/>
      <c r="L349" s="121" t="s">
        <v>630</v>
      </c>
    </row>
    <row r="350" spans="1:12" ht="45">
      <c r="A350" s="144" t="s">
        <v>683</v>
      </c>
      <c r="B350" s="178"/>
      <c r="C350" s="141"/>
      <c r="D350" s="121">
        <v>25631</v>
      </c>
      <c r="E350" s="146">
        <v>4</v>
      </c>
      <c r="F350" s="121">
        <v>2</v>
      </c>
      <c r="G350" s="122">
        <f>E350*F350</f>
        <v>8</v>
      </c>
      <c r="H350" s="121" t="s">
        <v>639</v>
      </c>
      <c r="I350" s="129">
        <v>180</v>
      </c>
      <c r="J350" s="109">
        <f t="shared" ref="J350" si="43">I350*G350</f>
        <v>1440</v>
      </c>
      <c r="K350" s="663"/>
      <c r="L350" s="121" t="s">
        <v>630</v>
      </c>
    </row>
    <row r="351" spans="1:12">
      <c r="A351" s="197" t="s">
        <v>685</v>
      </c>
      <c r="B351" s="159"/>
      <c r="C351" s="124"/>
      <c r="D351" s="114"/>
      <c r="E351" s="114"/>
      <c r="F351" s="114"/>
      <c r="G351" s="115"/>
      <c r="H351" s="114"/>
      <c r="I351" s="125"/>
      <c r="J351" s="114"/>
      <c r="K351" s="117">
        <f>SUM(J352:J355)</f>
        <v>117600</v>
      </c>
      <c r="L351" s="114"/>
    </row>
    <row r="352" spans="1:12">
      <c r="A352" s="152" t="s">
        <v>686</v>
      </c>
      <c r="B352" s="198"/>
      <c r="C352" s="660" t="s">
        <v>789</v>
      </c>
      <c r="D352" s="121">
        <v>3697</v>
      </c>
      <c r="E352" s="121">
        <v>300</v>
      </c>
      <c r="F352" s="121">
        <v>2</v>
      </c>
      <c r="G352" s="122">
        <f t="shared" ref="G352:G356" si="44">E352*F352</f>
        <v>600</v>
      </c>
      <c r="H352" s="121" t="s">
        <v>692</v>
      </c>
      <c r="I352" s="129">
        <v>65</v>
      </c>
      <c r="J352" s="109">
        <f>I352*G352</f>
        <v>39000</v>
      </c>
      <c r="K352" s="658"/>
      <c r="L352" s="121" t="s">
        <v>630</v>
      </c>
    </row>
    <row r="353" spans="1:12">
      <c r="A353" s="118" t="s">
        <v>790</v>
      </c>
      <c r="B353" s="180"/>
      <c r="C353" s="662"/>
      <c r="D353" s="121">
        <v>3697</v>
      </c>
      <c r="E353" s="121">
        <v>300</v>
      </c>
      <c r="F353" s="121">
        <v>2</v>
      </c>
      <c r="G353" s="122">
        <f t="shared" si="44"/>
        <v>600</v>
      </c>
      <c r="H353" s="121" t="s">
        <v>692</v>
      </c>
      <c r="I353" s="129">
        <v>75</v>
      </c>
      <c r="J353" s="109">
        <f t="shared" ref="J353:J356" si="45">I353*G353</f>
        <v>45000</v>
      </c>
      <c r="K353" s="663"/>
      <c r="L353" s="121" t="s">
        <v>630</v>
      </c>
    </row>
    <row r="354" spans="1:12" ht="75">
      <c r="A354" s="118" t="s">
        <v>792</v>
      </c>
      <c r="B354" s="180"/>
      <c r="C354" s="141" t="s">
        <v>793</v>
      </c>
      <c r="D354" s="121">
        <v>3697</v>
      </c>
      <c r="E354" s="121">
        <v>300</v>
      </c>
      <c r="F354" s="121">
        <v>2</v>
      </c>
      <c r="G354" s="122">
        <f t="shared" si="44"/>
        <v>600</v>
      </c>
      <c r="H354" s="121" t="s">
        <v>692</v>
      </c>
      <c r="I354" s="129">
        <v>34</v>
      </c>
      <c r="J354" s="109">
        <f t="shared" si="45"/>
        <v>20400</v>
      </c>
      <c r="K354" s="663"/>
      <c r="L354" s="121" t="s">
        <v>630</v>
      </c>
    </row>
    <row r="355" spans="1:12">
      <c r="A355" s="164" t="s">
        <v>796</v>
      </c>
      <c r="B355" s="166"/>
      <c r="C355" s="141" t="s">
        <v>643</v>
      </c>
      <c r="D355" s="121">
        <v>3697</v>
      </c>
      <c r="E355" s="121">
        <v>300</v>
      </c>
      <c r="F355" s="121">
        <v>2</v>
      </c>
      <c r="G355" s="122">
        <f t="shared" si="44"/>
        <v>600</v>
      </c>
      <c r="H355" s="121" t="s">
        <v>692</v>
      </c>
      <c r="I355" s="129">
        <v>22</v>
      </c>
      <c r="J355" s="109">
        <f t="shared" si="45"/>
        <v>13200</v>
      </c>
      <c r="K355" s="663"/>
      <c r="L355" s="121" t="s">
        <v>630</v>
      </c>
    </row>
    <row r="356" spans="1:12">
      <c r="A356" s="164" t="s">
        <v>796</v>
      </c>
      <c r="B356" s="166"/>
      <c r="C356" s="141" t="s">
        <v>797</v>
      </c>
      <c r="D356" s="121">
        <v>3697</v>
      </c>
      <c r="E356" s="121">
        <v>20</v>
      </c>
      <c r="F356" s="121">
        <v>2</v>
      </c>
      <c r="G356" s="122">
        <f t="shared" si="44"/>
        <v>40</v>
      </c>
      <c r="H356" s="121" t="s">
        <v>692</v>
      </c>
      <c r="I356" s="129">
        <v>22</v>
      </c>
      <c r="J356" s="109">
        <f t="shared" si="45"/>
        <v>880</v>
      </c>
      <c r="K356" s="659"/>
      <c r="L356" s="121"/>
    </row>
    <row r="357" spans="1:12">
      <c r="A357" s="694" t="s">
        <v>701</v>
      </c>
      <c r="B357" s="695"/>
      <c r="C357" s="124"/>
      <c r="D357" s="114"/>
      <c r="E357" s="114"/>
      <c r="F357" s="114"/>
      <c r="G357" s="115"/>
      <c r="H357" s="114"/>
      <c r="I357" s="125"/>
      <c r="J357" s="114"/>
      <c r="K357" s="117">
        <f>SUM(J359:J367)</f>
        <v>25710</v>
      </c>
      <c r="L357" s="114"/>
    </row>
    <row r="358" spans="1:12">
      <c r="A358" s="673" t="s">
        <v>702</v>
      </c>
      <c r="B358" s="674"/>
      <c r="C358" s="128"/>
      <c r="D358" s="123" t="s">
        <v>703</v>
      </c>
      <c r="E358" s="121"/>
      <c r="F358" s="121"/>
      <c r="G358" s="122"/>
      <c r="H358" s="121"/>
      <c r="I358" s="129"/>
      <c r="J358" s="121"/>
      <c r="K358" s="670"/>
      <c r="L358" s="121" t="s">
        <v>630</v>
      </c>
    </row>
    <row r="359" spans="1:12" ht="60">
      <c r="A359" s="668" t="s">
        <v>704</v>
      </c>
      <c r="B359" s="675"/>
      <c r="C359" s="141" t="s">
        <v>798</v>
      </c>
      <c r="D359" s="121">
        <v>3948</v>
      </c>
      <c r="E359" s="121">
        <v>215</v>
      </c>
      <c r="F359" s="121">
        <v>1</v>
      </c>
      <c r="G359" s="122">
        <f t="shared" ref="G359:G360" si="46">E359*F359</f>
        <v>215</v>
      </c>
      <c r="H359" s="121" t="s">
        <v>706</v>
      </c>
      <c r="I359" s="129">
        <v>30</v>
      </c>
      <c r="J359" s="109">
        <f>I359*G359</f>
        <v>6450</v>
      </c>
      <c r="K359" s="671"/>
      <c r="L359" s="121" t="s">
        <v>630</v>
      </c>
    </row>
    <row r="360" spans="1:12" ht="135">
      <c r="A360" s="668" t="s">
        <v>799</v>
      </c>
      <c r="B360" s="675"/>
      <c r="C360" s="141" t="s">
        <v>800</v>
      </c>
      <c r="D360" s="121">
        <v>138282</v>
      </c>
      <c r="E360" s="121">
        <v>200</v>
      </c>
      <c r="F360" s="121">
        <v>1</v>
      </c>
      <c r="G360" s="122">
        <f t="shared" si="46"/>
        <v>200</v>
      </c>
      <c r="H360" s="121" t="s">
        <v>706</v>
      </c>
      <c r="I360" s="129">
        <v>20</v>
      </c>
      <c r="J360" s="109">
        <f t="shared" ref="J360" si="47">I360*G360</f>
        <v>4000</v>
      </c>
      <c r="K360" s="671"/>
      <c r="L360" s="121" t="s">
        <v>630</v>
      </c>
    </row>
    <row r="361" spans="1:12" ht="405">
      <c r="A361" s="668" t="s">
        <v>883</v>
      </c>
      <c r="B361" s="696"/>
      <c r="C361" s="141" t="s">
        <v>884</v>
      </c>
      <c r="D361" s="121">
        <v>251388</v>
      </c>
      <c r="E361" s="121">
        <v>200</v>
      </c>
      <c r="F361" s="121">
        <v>1</v>
      </c>
      <c r="G361" s="122">
        <v>320</v>
      </c>
      <c r="H361" s="121" t="s">
        <v>706</v>
      </c>
      <c r="I361" s="129">
        <v>25</v>
      </c>
      <c r="J361" s="109">
        <f>I361*G361</f>
        <v>8000</v>
      </c>
      <c r="K361" s="671"/>
      <c r="L361" s="121" t="s">
        <v>630</v>
      </c>
    </row>
    <row r="362" spans="1:12" ht="210">
      <c r="A362" s="668" t="s">
        <v>801</v>
      </c>
      <c r="B362" s="675"/>
      <c r="C362" s="141" t="s">
        <v>802</v>
      </c>
      <c r="D362" s="183">
        <v>94897</v>
      </c>
      <c r="E362" s="121">
        <v>200</v>
      </c>
      <c r="F362" s="121">
        <v>1</v>
      </c>
      <c r="G362" s="122">
        <f t="shared" ref="G362:G368" si="48">E362*F362</f>
        <v>200</v>
      </c>
      <c r="H362" s="121" t="s">
        <v>706</v>
      </c>
      <c r="I362" s="129">
        <v>10</v>
      </c>
      <c r="J362" s="109">
        <f t="shared" ref="J362:J367" si="49">I362*G362</f>
        <v>2000</v>
      </c>
      <c r="K362" s="671"/>
      <c r="L362" s="121" t="s">
        <v>630</v>
      </c>
    </row>
    <row r="363" spans="1:12" ht="135">
      <c r="A363" s="668" t="s">
        <v>803</v>
      </c>
      <c r="B363" s="675"/>
      <c r="C363" s="141" t="s">
        <v>804</v>
      </c>
      <c r="D363" s="121">
        <v>19313</v>
      </c>
      <c r="E363" s="121">
        <v>1</v>
      </c>
      <c r="F363" s="121">
        <v>1</v>
      </c>
      <c r="G363" s="122">
        <f t="shared" si="48"/>
        <v>1</v>
      </c>
      <c r="H363" s="121" t="s">
        <v>709</v>
      </c>
      <c r="I363" s="129">
        <v>2540</v>
      </c>
      <c r="J363" s="109">
        <f t="shared" si="49"/>
        <v>2540</v>
      </c>
      <c r="K363" s="671"/>
      <c r="L363" s="121" t="s">
        <v>630</v>
      </c>
    </row>
    <row r="364" spans="1:12" ht="120">
      <c r="A364" s="668" t="s">
        <v>710</v>
      </c>
      <c r="B364" s="675"/>
      <c r="C364" s="141" t="s">
        <v>805</v>
      </c>
      <c r="D364" s="183">
        <v>19313</v>
      </c>
      <c r="E364" s="121">
        <v>2</v>
      </c>
      <c r="F364" s="121">
        <v>1</v>
      </c>
      <c r="G364" s="122">
        <f t="shared" si="48"/>
        <v>2</v>
      </c>
      <c r="H364" s="121" t="s">
        <v>706</v>
      </c>
      <c r="I364" s="170">
        <v>160</v>
      </c>
      <c r="J364" s="109">
        <f t="shared" si="49"/>
        <v>320</v>
      </c>
      <c r="K364" s="671"/>
      <c r="L364" s="121" t="s">
        <v>630</v>
      </c>
    </row>
    <row r="365" spans="1:12" ht="135">
      <c r="A365" s="668" t="s">
        <v>712</v>
      </c>
      <c r="B365" s="675"/>
      <c r="C365" s="141" t="s">
        <v>806</v>
      </c>
      <c r="D365" s="121">
        <v>150788</v>
      </c>
      <c r="E365" s="121">
        <v>200</v>
      </c>
      <c r="F365" s="121">
        <v>1</v>
      </c>
      <c r="G365" s="122">
        <f t="shared" si="48"/>
        <v>200</v>
      </c>
      <c r="H365" s="121" t="s">
        <v>706</v>
      </c>
      <c r="I365" s="170">
        <v>5</v>
      </c>
      <c r="J365" s="109">
        <f t="shared" si="49"/>
        <v>1000</v>
      </c>
      <c r="K365" s="671"/>
      <c r="L365" s="121" t="s">
        <v>630</v>
      </c>
    </row>
    <row r="366" spans="1:12" ht="75">
      <c r="A366" s="668" t="s">
        <v>714</v>
      </c>
      <c r="B366" s="675"/>
      <c r="C366" s="141" t="s">
        <v>807</v>
      </c>
      <c r="D366" s="183">
        <v>15946</v>
      </c>
      <c r="E366" s="121">
        <v>200</v>
      </c>
      <c r="F366" s="121">
        <v>1</v>
      </c>
      <c r="G366" s="122">
        <f t="shared" si="48"/>
        <v>200</v>
      </c>
      <c r="H366" s="121" t="s">
        <v>706</v>
      </c>
      <c r="I366" s="129">
        <v>1.5</v>
      </c>
      <c r="J366" s="109">
        <f t="shared" si="49"/>
        <v>300</v>
      </c>
      <c r="K366" s="671"/>
      <c r="L366" s="121" t="s">
        <v>630</v>
      </c>
    </row>
    <row r="367" spans="1:12" ht="120">
      <c r="A367" s="668" t="s">
        <v>808</v>
      </c>
      <c r="B367" s="675"/>
      <c r="C367" s="141" t="s">
        <v>809</v>
      </c>
      <c r="D367" s="121">
        <v>32859</v>
      </c>
      <c r="E367" s="121">
        <v>200</v>
      </c>
      <c r="F367" s="121">
        <v>1</v>
      </c>
      <c r="G367" s="122">
        <f t="shared" si="48"/>
        <v>200</v>
      </c>
      <c r="H367" s="121" t="s">
        <v>709</v>
      </c>
      <c r="I367" s="129">
        <v>5.5</v>
      </c>
      <c r="J367" s="109">
        <f t="shared" si="49"/>
        <v>1100</v>
      </c>
      <c r="K367" s="672"/>
      <c r="L367" s="121" t="s">
        <v>630</v>
      </c>
    </row>
    <row r="368" spans="1:12">
      <c r="A368" s="676" t="s">
        <v>631</v>
      </c>
      <c r="B368" s="677"/>
      <c r="C368" s="124"/>
      <c r="D368" s="114"/>
      <c r="E368" s="114"/>
      <c r="F368" s="114"/>
      <c r="G368" s="115">
        <f t="shared" si="48"/>
        <v>0</v>
      </c>
      <c r="H368" s="114"/>
      <c r="I368" s="125"/>
      <c r="J368" s="114"/>
      <c r="K368" s="117">
        <f>SUM(J369:J369)</f>
        <v>24000</v>
      </c>
      <c r="L368" s="114"/>
    </row>
    <row r="369" spans="1:12">
      <c r="A369" s="680" t="s">
        <v>632</v>
      </c>
      <c r="B369" s="681"/>
      <c r="C369" s="128"/>
      <c r="D369" s="121">
        <v>20656</v>
      </c>
      <c r="E369" s="121">
        <v>3</v>
      </c>
      <c r="F369" s="121">
        <v>1</v>
      </c>
      <c r="G369" s="122">
        <v>2</v>
      </c>
      <c r="H369" s="121" t="s">
        <v>633</v>
      </c>
      <c r="I369" s="129">
        <v>12000</v>
      </c>
      <c r="J369" s="109">
        <f>I369*G369</f>
        <v>24000</v>
      </c>
      <c r="K369" s="199"/>
      <c r="L369" s="121" t="s">
        <v>630</v>
      </c>
    </row>
    <row r="370" spans="1:12">
      <c r="A370" s="682" t="s">
        <v>720</v>
      </c>
      <c r="B370" s="683"/>
      <c r="C370" s="124"/>
      <c r="D370" s="114"/>
      <c r="E370" s="114"/>
      <c r="F370" s="114"/>
      <c r="G370" s="114"/>
      <c r="H370" s="114"/>
      <c r="I370" s="125"/>
      <c r="J370" s="114"/>
      <c r="K370" s="117">
        <f>SUM(J371:J372)</f>
        <v>44300</v>
      </c>
      <c r="L370" s="114"/>
    </row>
    <row r="371" spans="1:12" ht="195">
      <c r="A371" s="702" t="s">
        <v>721</v>
      </c>
      <c r="B371" s="669"/>
      <c r="C371" s="141" t="s">
        <v>812</v>
      </c>
      <c r="D371" s="121">
        <v>25089</v>
      </c>
      <c r="E371" s="121">
        <v>15</v>
      </c>
      <c r="F371" s="121">
        <v>1</v>
      </c>
      <c r="G371" s="121">
        <f>E371*F371</f>
        <v>15</v>
      </c>
      <c r="H371" s="121" t="s">
        <v>639</v>
      </c>
      <c r="I371" s="129">
        <v>2000</v>
      </c>
      <c r="J371" s="109">
        <f>I371*G371</f>
        <v>30000</v>
      </c>
      <c r="K371" s="709"/>
      <c r="L371" s="121" t="s">
        <v>630</v>
      </c>
    </row>
    <row r="372" spans="1:12" ht="150">
      <c r="A372" s="668" t="s">
        <v>813</v>
      </c>
      <c r="B372" s="675"/>
      <c r="C372" s="141" t="s">
        <v>814</v>
      </c>
      <c r="D372" s="121">
        <v>25089</v>
      </c>
      <c r="E372" s="121">
        <v>11</v>
      </c>
      <c r="F372" s="121">
        <v>1</v>
      </c>
      <c r="G372" s="121">
        <f>E372*F372</f>
        <v>11</v>
      </c>
      <c r="H372" s="121" t="s">
        <v>639</v>
      </c>
      <c r="I372" s="129">
        <v>1300</v>
      </c>
      <c r="J372" s="109">
        <f t="shared" ref="J372" si="50">I372*G372</f>
        <v>14300</v>
      </c>
      <c r="K372" s="709"/>
      <c r="L372" s="121" t="s">
        <v>630</v>
      </c>
    </row>
    <row r="373" spans="1:12">
      <c r="A373" s="710"/>
      <c r="B373" s="711"/>
      <c r="C373" s="711"/>
      <c r="D373" s="711"/>
      <c r="E373" s="711"/>
      <c r="F373" s="711"/>
      <c r="G373" s="711"/>
      <c r="H373" s="711"/>
      <c r="I373" s="711"/>
      <c r="J373" s="711"/>
      <c r="K373" s="711"/>
      <c r="L373" s="711"/>
    </row>
    <row r="374" spans="1:12" ht="63">
      <c r="A374" s="200" t="s">
        <v>594</v>
      </c>
      <c r="B374" s="201"/>
      <c r="C374" s="202"/>
      <c r="D374" s="202"/>
      <c r="E374" s="202"/>
      <c r="F374" s="202"/>
      <c r="G374" s="202"/>
      <c r="H374" s="202"/>
      <c r="I374" s="202"/>
      <c r="J374" s="202"/>
      <c r="K374" s="203">
        <f>SUM(K375+K394)</f>
        <v>30424</v>
      </c>
      <c r="L374" s="204"/>
    </row>
    <row r="375" spans="1:12" ht="57">
      <c r="A375" s="205" t="s">
        <v>903</v>
      </c>
      <c r="B375" s="206"/>
      <c r="C375" s="207"/>
      <c r="D375" s="151"/>
      <c r="E375" s="151"/>
      <c r="F375" s="151"/>
      <c r="G375" s="154"/>
      <c r="H375" s="151"/>
      <c r="I375" s="155"/>
      <c r="J375" s="151"/>
      <c r="K375" s="208">
        <f>SUM(K376+K378+K387+K390)</f>
        <v>15212</v>
      </c>
      <c r="L375" s="151"/>
    </row>
    <row r="376" spans="1:12">
      <c r="A376" s="714" t="s">
        <v>824</v>
      </c>
      <c r="B376" s="715"/>
      <c r="C376" s="124"/>
      <c r="D376" s="114"/>
      <c r="E376" s="114"/>
      <c r="F376" s="114"/>
      <c r="G376" s="115"/>
      <c r="H376" s="114"/>
      <c r="I376" s="125"/>
      <c r="J376" s="114"/>
      <c r="K376" s="117">
        <f>SUM(J377)</f>
        <v>2012</v>
      </c>
      <c r="L376" s="114"/>
    </row>
    <row r="377" spans="1:12" ht="120">
      <c r="A377" s="209" t="s">
        <v>904</v>
      </c>
      <c r="B377" s="165"/>
      <c r="C377" s="141" t="s">
        <v>738</v>
      </c>
      <c r="D377" s="121">
        <v>22721</v>
      </c>
      <c r="E377" s="121">
        <v>1</v>
      </c>
      <c r="F377" s="121">
        <v>2</v>
      </c>
      <c r="G377" s="122">
        <f t="shared" ref="G377:G386" si="51">E377*F377</f>
        <v>2</v>
      </c>
      <c r="H377" s="121" t="s">
        <v>639</v>
      </c>
      <c r="I377" s="129">
        <v>1006</v>
      </c>
      <c r="J377" s="109">
        <f t="shared" ref="J377:J392" si="52">I377*G377</f>
        <v>2012</v>
      </c>
      <c r="K377" s="123"/>
      <c r="L377" s="121" t="s">
        <v>630</v>
      </c>
    </row>
    <row r="378" spans="1:12">
      <c r="A378" s="714" t="s">
        <v>651</v>
      </c>
      <c r="B378" s="715"/>
      <c r="C378" s="124"/>
      <c r="D378" s="114"/>
      <c r="E378" s="114"/>
      <c r="F378" s="114"/>
      <c r="G378" s="115"/>
      <c r="H378" s="114"/>
      <c r="I378" s="125"/>
      <c r="J378" s="114"/>
      <c r="K378" s="117">
        <f>SUM(J379:J386)</f>
        <v>5680</v>
      </c>
      <c r="L378" s="114"/>
    </row>
    <row r="379" spans="1:12" ht="14.25" customHeight="1">
      <c r="A379" s="164" t="s">
        <v>768</v>
      </c>
      <c r="B379" s="165"/>
      <c r="C379" s="141"/>
      <c r="D379" s="121">
        <v>22888</v>
      </c>
      <c r="E379" s="121">
        <v>60</v>
      </c>
      <c r="F379" s="121">
        <v>2</v>
      </c>
      <c r="G379" s="122">
        <f t="shared" si="51"/>
        <v>120</v>
      </c>
      <c r="H379" s="121" t="s">
        <v>639</v>
      </c>
      <c r="I379" s="129">
        <v>17.5</v>
      </c>
      <c r="J379" s="109">
        <f t="shared" si="52"/>
        <v>2100</v>
      </c>
      <c r="K379" s="663"/>
      <c r="L379" s="121" t="s">
        <v>630</v>
      </c>
    </row>
    <row r="380" spans="1:12" ht="90">
      <c r="A380" s="209" t="s">
        <v>905</v>
      </c>
      <c r="B380" s="165"/>
      <c r="C380" s="141" t="s">
        <v>767</v>
      </c>
      <c r="D380" s="121">
        <v>12556</v>
      </c>
      <c r="E380" s="121">
        <v>1</v>
      </c>
      <c r="F380" s="121">
        <v>2</v>
      </c>
      <c r="G380" s="122">
        <f t="shared" si="51"/>
        <v>2</v>
      </c>
      <c r="H380" s="121" t="s">
        <v>639</v>
      </c>
      <c r="I380" s="129">
        <v>268</v>
      </c>
      <c r="J380" s="109">
        <f t="shared" si="52"/>
        <v>536</v>
      </c>
      <c r="K380" s="663"/>
      <c r="L380" s="121" t="s">
        <v>630</v>
      </c>
    </row>
    <row r="381" spans="1:12" ht="30">
      <c r="A381" s="210" t="s">
        <v>906</v>
      </c>
      <c r="B381" s="165"/>
      <c r="C381" s="128"/>
      <c r="D381" s="121">
        <v>12556</v>
      </c>
      <c r="E381" s="121">
        <v>1</v>
      </c>
      <c r="F381" s="121">
        <v>2</v>
      </c>
      <c r="G381" s="122">
        <f t="shared" si="51"/>
        <v>2</v>
      </c>
      <c r="H381" s="121" t="s">
        <v>639</v>
      </c>
      <c r="I381" s="129">
        <v>150</v>
      </c>
      <c r="J381" s="109">
        <f t="shared" si="52"/>
        <v>300</v>
      </c>
      <c r="K381" s="663"/>
      <c r="L381" s="121" t="s">
        <v>630</v>
      </c>
    </row>
    <row r="382" spans="1:12">
      <c r="A382" s="210" t="s">
        <v>907</v>
      </c>
      <c r="B382" s="165"/>
      <c r="C382" s="128"/>
      <c r="D382" s="121">
        <v>12556</v>
      </c>
      <c r="E382" s="121">
        <v>1</v>
      </c>
      <c r="F382" s="121">
        <v>2</v>
      </c>
      <c r="G382" s="122">
        <f t="shared" si="51"/>
        <v>2</v>
      </c>
      <c r="H382" s="121" t="s">
        <v>639</v>
      </c>
      <c r="I382" s="129">
        <v>160</v>
      </c>
      <c r="J382" s="109">
        <f t="shared" si="52"/>
        <v>320</v>
      </c>
      <c r="K382" s="663"/>
      <c r="L382" s="121" t="s">
        <v>630</v>
      </c>
    </row>
    <row r="383" spans="1:12" ht="75">
      <c r="A383" s="164" t="s">
        <v>908</v>
      </c>
      <c r="B383" s="165"/>
      <c r="C383" s="141" t="s">
        <v>746</v>
      </c>
      <c r="D383" s="121">
        <v>12556</v>
      </c>
      <c r="E383" s="121">
        <v>6</v>
      </c>
      <c r="F383" s="121">
        <v>2</v>
      </c>
      <c r="G383" s="122">
        <f t="shared" si="51"/>
        <v>12</v>
      </c>
      <c r="H383" s="121" t="s">
        <v>639</v>
      </c>
      <c r="I383" s="129">
        <v>62</v>
      </c>
      <c r="J383" s="109">
        <f t="shared" si="52"/>
        <v>744</v>
      </c>
      <c r="K383" s="663"/>
      <c r="L383" s="121" t="s">
        <v>630</v>
      </c>
    </row>
    <row r="384" spans="1:12">
      <c r="A384" s="210" t="s">
        <v>909</v>
      </c>
      <c r="B384" s="165"/>
      <c r="C384" s="128"/>
      <c r="D384" s="121">
        <v>22888</v>
      </c>
      <c r="E384" s="121">
        <v>1</v>
      </c>
      <c r="F384" s="121">
        <v>2</v>
      </c>
      <c r="G384" s="122">
        <f t="shared" si="51"/>
        <v>2</v>
      </c>
      <c r="H384" s="121" t="s">
        <v>639</v>
      </c>
      <c r="I384" s="129">
        <v>90</v>
      </c>
      <c r="J384" s="109">
        <f t="shared" si="52"/>
        <v>180</v>
      </c>
      <c r="K384" s="663"/>
      <c r="L384" s="121" t="s">
        <v>630</v>
      </c>
    </row>
    <row r="385" spans="1:12">
      <c r="A385" s="164" t="s">
        <v>669</v>
      </c>
      <c r="B385" s="165"/>
      <c r="C385" s="141"/>
      <c r="D385" s="121">
        <v>12556</v>
      </c>
      <c r="E385" s="121">
        <v>1</v>
      </c>
      <c r="F385" s="121">
        <v>2</v>
      </c>
      <c r="G385" s="122">
        <f t="shared" si="51"/>
        <v>2</v>
      </c>
      <c r="H385" s="121" t="s">
        <v>639</v>
      </c>
      <c r="I385" s="129">
        <v>150</v>
      </c>
      <c r="J385" s="109">
        <f t="shared" si="52"/>
        <v>300</v>
      </c>
      <c r="K385" s="663"/>
      <c r="L385" s="121" t="s">
        <v>630</v>
      </c>
    </row>
    <row r="386" spans="1:12" ht="270">
      <c r="A386" s="164" t="s">
        <v>847</v>
      </c>
      <c r="B386" s="165"/>
      <c r="C386" s="141" t="s">
        <v>848</v>
      </c>
      <c r="D386" s="121">
        <v>12556</v>
      </c>
      <c r="E386" s="121">
        <v>1</v>
      </c>
      <c r="F386" s="121">
        <v>1</v>
      </c>
      <c r="G386" s="122">
        <f t="shared" si="51"/>
        <v>1</v>
      </c>
      <c r="H386" s="121" t="s">
        <v>639</v>
      </c>
      <c r="I386" s="129">
        <v>1200</v>
      </c>
      <c r="J386" s="109">
        <f t="shared" si="52"/>
        <v>1200</v>
      </c>
      <c r="K386" s="659"/>
      <c r="L386" s="121" t="s">
        <v>630</v>
      </c>
    </row>
    <row r="387" spans="1:12">
      <c r="A387" s="716" t="s">
        <v>681</v>
      </c>
      <c r="B387" s="716"/>
      <c r="C387" s="113"/>
      <c r="D387" s="114"/>
      <c r="E387" s="211"/>
      <c r="F387" s="114"/>
      <c r="G387" s="115"/>
      <c r="H387" s="114"/>
      <c r="I387" s="125"/>
      <c r="J387" s="157"/>
      <c r="K387" s="117">
        <f>SUM(J388:J389)</f>
        <v>800</v>
      </c>
      <c r="L387" s="114"/>
    </row>
    <row r="388" spans="1:12">
      <c r="A388" s="701" t="s">
        <v>682</v>
      </c>
      <c r="B388" s="701"/>
      <c r="C388" s="141"/>
      <c r="D388" s="121">
        <v>14591</v>
      </c>
      <c r="E388" s="146">
        <v>1</v>
      </c>
      <c r="F388" s="121">
        <v>2</v>
      </c>
      <c r="G388" s="122">
        <f>E388*F388</f>
        <v>2</v>
      </c>
      <c r="H388" s="121" t="s">
        <v>639</v>
      </c>
      <c r="I388" s="129">
        <v>220</v>
      </c>
      <c r="J388" s="109">
        <f t="shared" si="52"/>
        <v>440</v>
      </c>
      <c r="K388" s="658"/>
      <c r="L388" s="121" t="s">
        <v>630</v>
      </c>
    </row>
    <row r="389" spans="1:12">
      <c r="A389" s="701" t="s">
        <v>683</v>
      </c>
      <c r="B389" s="701"/>
      <c r="C389" s="141"/>
      <c r="D389" s="121">
        <v>25631</v>
      </c>
      <c r="E389" s="146">
        <v>1</v>
      </c>
      <c r="F389" s="121">
        <v>2</v>
      </c>
      <c r="G389" s="122">
        <f>E389*F389</f>
        <v>2</v>
      </c>
      <c r="H389" s="121" t="s">
        <v>639</v>
      </c>
      <c r="I389" s="129">
        <v>180</v>
      </c>
      <c r="J389" s="109">
        <f t="shared" si="52"/>
        <v>360</v>
      </c>
      <c r="K389" s="659"/>
      <c r="L389" s="121" t="s">
        <v>630</v>
      </c>
    </row>
    <row r="390" spans="1:12">
      <c r="A390" s="712" t="s">
        <v>685</v>
      </c>
      <c r="B390" s="713"/>
      <c r="C390" s="124"/>
      <c r="D390" s="114"/>
      <c r="E390" s="114"/>
      <c r="F390" s="114"/>
      <c r="G390" s="115"/>
      <c r="H390" s="114"/>
      <c r="I390" s="125"/>
      <c r="J390" s="114"/>
      <c r="K390" s="117">
        <f>SUM(J391:J392)</f>
        <v>6720</v>
      </c>
      <c r="L390" s="114"/>
    </row>
    <row r="391" spans="1:12">
      <c r="A391" s="668" t="s">
        <v>910</v>
      </c>
      <c r="B391" s="675"/>
      <c r="C391" s="212"/>
      <c r="D391" s="121">
        <v>3697</v>
      </c>
      <c r="E391" s="121">
        <v>60</v>
      </c>
      <c r="F391" s="121">
        <v>2</v>
      </c>
      <c r="G391" s="122">
        <f t="shared" ref="G391:G392" si="53">E391*F391</f>
        <v>120</v>
      </c>
      <c r="H391" s="121" t="s">
        <v>692</v>
      </c>
      <c r="I391" s="129">
        <v>34</v>
      </c>
      <c r="J391" s="109">
        <f t="shared" si="52"/>
        <v>4080</v>
      </c>
      <c r="K391" s="658"/>
      <c r="L391" s="121" t="s">
        <v>630</v>
      </c>
    </row>
    <row r="392" spans="1:12">
      <c r="A392" s="668" t="s">
        <v>796</v>
      </c>
      <c r="B392" s="675"/>
      <c r="C392" s="213"/>
      <c r="D392" s="121">
        <v>3697</v>
      </c>
      <c r="E392" s="121">
        <v>60</v>
      </c>
      <c r="F392" s="121">
        <v>2</v>
      </c>
      <c r="G392" s="122">
        <f t="shared" si="53"/>
        <v>120</v>
      </c>
      <c r="H392" s="121" t="s">
        <v>692</v>
      </c>
      <c r="I392" s="129">
        <v>22</v>
      </c>
      <c r="J392" s="109">
        <f t="shared" si="52"/>
        <v>2640</v>
      </c>
      <c r="K392" s="659"/>
      <c r="L392" s="121" t="s">
        <v>630</v>
      </c>
    </row>
    <row r="393" spans="1:12">
      <c r="A393" s="710"/>
      <c r="B393" s="711"/>
      <c r="C393" s="711"/>
      <c r="D393" s="711"/>
      <c r="E393" s="711"/>
      <c r="F393" s="711"/>
      <c r="G393" s="711"/>
      <c r="H393" s="711"/>
      <c r="I393" s="711"/>
      <c r="J393" s="711"/>
      <c r="K393" s="711"/>
      <c r="L393" s="711"/>
    </row>
    <row r="394" spans="1:12" ht="57">
      <c r="A394" s="214" t="s">
        <v>911</v>
      </c>
      <c r="B394" s="185"/>
      <c r="C394" s="128"/>
      <c r="D394" s="121"/>
      <c r="E394" s="121"/>
      <c r="F394" s="121"/>
      <c r="G394" s="122"/>
      <c r="H394" s="121"/>
      <c r="I394" s="129"/>
      <c r="J394" s="121"/>
      <c r="K394" s="215">
        <f>SUM(K395+K397+K406+K409)</f>
        <v>15212</v>
      </c>
      <c r="L394" s="121"/>
    </row>
    <row r="395" spans="1:12">
      <c r="A395" s="714" t="s">
        <v>824</v>
      </c>
      <c r="B395" s="715"/>
      <c r="C395" s="124"/>
      <c r="D395" s="114"/>
      <c r="E395" s="114"/>
      <c r="F395" s="114"/>
      <c r="G395" s="115"/>
      <c r="H395" s="114"/>
      <c r="I395" s="125"/>
      <c r="J395" s="114"/>
      <c r="K395" s="117">
        <f>SUM(J396)</f>
        <v>2012</v>
      </c>
      <c r="L395" s="114"/>
    </row>
    <row r="396" spans="1:12" ht="120">
      <c r="A396" s="209" t="s">
        <v>904</v>
      </c>
      <c r="B396" s="165"/>
      <c r="C396" s="141" t="s">
        <v>738</v>
      </c>
      <c r="D396" s="121">
        <v>22721</v>
      </c>
      <c r="E396" s="121">
        <v>1</v>
      </c>
      <c r="F396" s="121">
        <v>2</v>
      </c>
      <c r="G396" s="122">
        <f t="shared" ref="G396:G405" si="54">E396*F396</f>
        <v>2</v>
      </c>
      <c r="H396" s="121" t="s">
        <v>639</v>
      </c>
      <c r="I396" s="129">
        <v>1006</v>
      </c>
      <c r="J396" s="109">
        <f>I396*G396</f>
        <v>2012</v>
      </c>
      <c r="K396" s="123"/>
      <c r="L396" s="121" t="s">
        <v>630</v>
      </c>
    </row>
    <row r="397" spans="1:12">
      <c r="A397" s="714" t="s">
        <v>651</v>
      </c>
      <c r="B397" s="715"/>
      <c r="C397" s="124"/>
      <c r="D397" s="114"/>
      <c r="E397" s="114"/>
      <c r="F397" s="114"/>
      <c r="G397" s="115"/>
      <c r="H397" s="114"/>
      <c r="I397" s="125"/>
      <c r="J397" s="114"/>
      <c r="K397" s="117">
        <f>SUM(J398:J405)</f>
        <v>5680</v>
      </c>
      <c r="L397" s="114"/>
    </row>
    <row r="398" spans="1:12" ht="45">
      <c r="A398" s="164" t="s">
        <v>768</v>
      </c>
      <c r="B398" s="165"/>
      <c r="C398" s="141"/>
      <c r="D398" s="121">
        <v>22888</v>
      </c>
      <c r="E398" s="121">
        <v>60</v>
      </c>
      <c r="F398" s="121">
        <v>2</v>
      </c>
      <c r="G398" s="122">
        <f t="shared" si="54"/>
        <v>120</v>
      </c>
      <c r="H398" s="121" t="s">
        <v>639</v>
      </c>
      <c r="I398" s="129">
        <v>17.5</v>
      </c>
      <c r="J398" s="109">
        <f t="shared" ref="J398:J405" si="55">I398*G398</f>
        <v>2100</v>
      </c>
      <c r="K398" s="658"/>
      <c r="L398" s="121" t="s">
        <v>630</v>
      </c>
    </row>
    <row r="399" spans="1:12" ht="90">
      <c r="A399" s="209" t="s">
        <v>905</v>
      </c>
      <c r="B399" s="165"/>
      <c r="C399" s="141" t="s">
        <v>767</v>
      </c>
      <c r="D399" s="121">
        <v>12556</v>
      </c>
      <c r="E399" s="121">
        <v>1</v>
      </c>
      <c r="F399" s="121">
        <v>2</v>
      </c>
      <c r="G399" s="122">
        <f t="shared" si="54"/>
        <v>2</v>
      </c>
      <c r="H399" s="121" t="s">
        <v>639</v>
      </c>
      <c r="I399" s="129">
        <v>268</v>
      </c>
      <c r="J399" s="109">
        <f t="shared" si="55"/>
        <v>536</v>
      </c>
      <c r="K399" s="663"/>
      <c r="L399" s="121" t="s">
        <v>630</v>
      </c>
    </row>
    <row r="400" spans="1:12" ht="30">
      <c r="A400" s="210" t="s">
        <v>906</v>
      </c>
      <c r="B400" s="165"/>
      <c r="C400" s="128"/>
      <c r="D400" s="121">
        <v>12556</v>
      </c>
      <c r="E400" s="121">
        <v>1</v>
      </c>
      <c r="F400" s="121">
        <v>2</v>
      </c>
      <c r="G400" s="122">
        <f t="shared" si="54"/>
        <v>2</v>
      </c>
      <c r="H400" s="121" t="s">
        <v>639</v>
      </c>
      <c r="I400" s="129">
        <v>150</v>
      </c>
      <c r="J400" s="109">
        <f t="shared" si="55"/>
        <v>300</v>
      </c>
      <c r="K400" s="663"/>
      <c r="L400" s="121" t="s">
        <v>630</v>
      </c>
    </row>
    <row r="401" spans="1:12">
      <c r="A401" s="210" t="s">
        <v>907</v>
      </c>
      <c r="B401" s="165"/>
      <c r="C401" s="128"/>
      <c r="D401" s="121">
        <v>12556</v>
      </c>
      <c r="E401" s="121">
        <v>1</v>
      </c>
      <c r="F401" s="121">
        <v>2</v>
      </c>
      <c r="G401" s="122">
        <f t="shared" si="54"/>
        <v>2</v>
      </c>
      <c r="H401" s="121" t="s">
        <v>639</v>
      </c>
      <c r="I401" s="129">
        <v>160</v>
      </c>
      <c r="J401" s="109">
        <f t="shared" si="55"/>
        <v>320</v>
      </c>
      <c r="K401" s="663"/>
      <c r="L401" s="121" t="s">
        <v>630</v>
      </c>
    </row>
    <row r="402" spans="1:12" ht="75">
      <c r="A402" s="164" t="s">
        <v>908</v>
      </c>
      <c r="B402" s="165"/>
      <c r="C402" s="141" t="s">
        <v>746</v>
      </c>
      <c r="D402" s="121">
        <v>12556</v>
      </c>
      <c r="E402" s="121">
        <v>6</v>
      </c>
      <c r="F402" s="121">
        <v>2</v>
      </c>
      <c r="G402" s="122">
        <f t="shared" si="54"/>
        <v>12</v>
      </c>
      <c r="H402" s="121" t="s">
        <v>639</v>
      </c>
      <c r="I402" s="129">
        <v>62</v>
      </c>
      <c r="J402" s="109">
        <f t="shared" si="55"/>
        <v>744</v>
      </c>
      <c r="K402" s="663"/>
      <c r="L402" s="121" t="s">
        <v>630</v>
      </c>
    </row>
    <row r="403" spans="1:12">
      <c r="A403" s="210" t="s">
        <v>909</v>
      </c>
      <c r="B403" s="165"/>
      <c r="C403" s="128"/>
      <c r="D403" s="121">
        <v>22888</v>
      </c>
      <c r="E403" s="121">
        <v>1</v>
      </c>
      <c r="F403" s="121">
        <v>2</v>
      </c>
      <c r="G403" s="122">
        <f t="shared" si="54"/>
        <v>2</v>
      </c>
      <c r="H403" s="121" t="s">
        <v>639</v>
      </c>
      <c r="I403" s="129">
        <v>90</v>
      </c>
      <c r="J403" s="109">
        <f t="shared" si="55"/>
        <v>180</v>
      </c>
      <c r="K403" s="663"/>
      <c r="L403" s="121" t="s">
        <v>630</v>
      </c>
    </row>
    <row r="404" spans="1:12" ht="60">
      <c r="A404" s="164" t="s">
        <v>669</v>
      </c>
      <c r="B404" s="165"/>
      <c r="C404" s="141" t="s">
        <v>912</v>
      </c>
      <c r="D404" s="121">
        <v>12556</v>
      </c>
      <c r="E404" s="121">
        <v>1</v>
      </c>
      <c r="F404" s="121">
        <v>2</v>
      </c>
      <c r="G404" s="122">
        <f t="shared" si="54"/>
        <v>2</v>
      </c>
      <c r="H404" s="121" t="s">
        <v>639</v>
      </c>
      <c r="I404" s="129">
        <v>150</v>
      </c>
      <c r="J404" s="109">
        <f t="shared" si="55"/>
        <v>300</v>
      </c>
      <c r="K404" s="663"/>
      <c r="L404" s="121" t="s">
        <v>630</v>
      </c>
    </row>
    <row r="405" spans="1:12" ht="270">
      <c r="A405" s="164" t="s">
        <v>847</v>
      </c>
      <c r="B405" s="165"/>
      <c r="C405" s="141" t="s">
        <v>848</v>
      </c>
      <c r="D405" s="121">
        <v>12556</v>
      </c>
      <c r="E405" s="121">
        <v>1</v>
      </c>
      <c r="F405" s="121">
        <v>1</v>
      </c>
      <c r="G405" s="122">
        <f t="shared" si="54"/>
        <v>1</v>
      </c>
      <c r="H405" s="121" t="s">
        <v>639</v>
      </c>
      <c r="I405" s="129">
        <v>1200</v>
      </c>
      <c r="J405" s="109">
        <f t="shared" si="55"/>
        <v>1200</v>
      </c>
      <c r="K405" s="659"/>
      <c r="L405" s="121" t="s">
        <v>630</v>
      </c>
    </row>
    <row r="406" spans="1:12">
      <c r="A406" s="716" t="s">
        <v>681</v>
      </c>
      <c r="B406" s="716"/>
      <c r="C406" s="113"/>
      <c r="D406" s="114"/>
      <c r="E406" s="211"/>
      <c r="F406" s="114"/>
      <c r="G406" s="115"/>
      <c r="H406" s="114"/>
      <c r="I406" s="125"/>
      <c r="J406" s="157"/>
      <c r="K406" s="117">
        <f>SUM(J407:J408)</f>
        <v>800</v>
      </c>
      <c r="L406" s="114"/>
    </row>
    <row r="407" spans="1:12">
      <c r="A407" s="701" t="s">
        <v>682</v>
      </c>
      <c r="B407" s="701"/>
      <c r="C407" s="141"/>
      <c r="D407" s="121">
        <v>14591</v>
      </c>
      <c r="E407" s="146">
        <v>1</v>
      </c>
      <c r="F407" s="121">
        <v>2</v>
      </c>
      <c r="G407" s="122">
        <f>E407*F407</f>
        <v>2</v>
      </c>
      <c r="H407" s="121" t="s">
        <v>639</v>
      </c>
      <c r="I407" s="129">
        <v>220</v>
      </c>
      <c r="J407" s="109">
        <f t="shared" ref="J407:J408" si="56">I407*G407</f>
        <v>440</v>
      </c>
      <c r="K407" s="658"/>
      <c r="L407" s="121" t="s">
        <v>630</v>
      </c>
    </row>
    <row r="408" spans="1:12">
      <c r="A408" s="701" t="s">
        <v>683</v>
      </c>
      <c r="B408" s="701"/>
      <c r="C408" s="141"/>
      <c r="D408" s="121">
        <v>25631</v>
      </c>
      <c r="E408" s="146">
        <v>1</v>
      </c>
      <c r="F408" s="121">
        <v>2</v>
      </c>
      <c r="G408" s="122">
        <f>E408*F408</f>
        <v>2</v>
      </c>
      <c r="H408" s="121" t="s">
        <v>639</v>
      </c>
      <c r="I408" s="129">
        <v>180</v>
      </c>
      <c r="J408" s="109">
        <f t="shared" si="56"/>
        <v>360</v>
      </c>
      <c r="K408" s="659"/>
      <c r="L408" s="121" t="s">
        <v>630</v>
      </c>
    </row>
    <row r="409" spans="1:12">
      <c r="A409" s="712" t="s">
        <v>685</v>
      </c>
      <c r="B409" s="713"/>
      <c r="C409" s="124"/>
      <c r="D409" s="114"/>
      <c r="E409" s="114"/>
      <c r="F409" s="114"/>
      <c r="G409" s="115"/>
      <c r="H409" s="114"/>
      <c r="I409" s="125"/>
      <c r="J409" s="114"/>
      <c r="K409" s="117">
        <f>SUM(J410:J411)</f>
        <v>6720</v>
      </c>
      <c r="L409" s="114"/>
    </row>
    <row r="410" spans="1:12">
      <c r="A410" s="668" t="s">
        <v>910</v>
      </c>
      <c r="B410" s="675"/>
      <c r="C410" s="216"/>
      <c r="D410" s="121">
        <v>3697</v>
      </c>
      <c r="E410" s="121">
        <v>60</v>
      </c>
      <c r="F410" s="121">
        <v>2</v>
      </c>
      <c r="G410" s="122">
        <f t="shared" ref="G410:G411" si="57">E410*F410</f>
        <v>120</v>
      </c>
      <c r="H410" s="121" t="s">
        <v>692</v>
      </c>
      <c r="I410" s="129">
        <v>34</v>
      </c>
      <c r="J410" s="109">
        <f t="shared" ref="J410:J411" si="58">I410*G410</f>
        <v>4080</v>
      </c>
      <c r="K410" s="658"/>
      <c r="L410" s="121" t="s">
        <v>630</v>
      </c>
    </row>
    <row r="411" spans="1:12">
      <c r="A411" s="668" t="s">
        <v>796</v>
      </c>
      <c r="B411" s="696"/>
      <c r="C411" s="90"/>
      <c r="D411" s="121">
        <v>3697</v>
      </c>
      <c r="E411" s="121">
        <v>60</v>
      </c>
      <c r="F411" s="121">
        <v>2</v>
      </c>
      <c r="G411" s="122">
        <f t="shared" si="57"/>
        <v>120</v>
      </c>
      <c r="H411" s="121" t="s">
        <v>692</v>
      </c>
      <c r="I411" s="129">
        <v>22</v>
      </c>
      <c r="J411" s="109">
        <f t="shared" si="58"/>
        <v>2640</v>
      </c>
      <c r="K411" s="659"/>
      <c r="L411" s="121" t="s">
        <v>630</v>
      </c>
    </row>
    <row r="412" spans="1:12">
      <c r="A412" s="686"/>
      <c r="B412" s="687"/>
      <c r="C412" s="687"/>
      <c r="D412" s="687"/>
      <c r="E412" s="687"/>
      <c r="F412" s="687"/>
      <c r="G412" s="687"/>
      <c r="H412" s="687"/>
      <c r="I412" s="687"/>
      <c r="J412" s="687"/>
      <c r="K412" s="687"/>
      <c r="L412" s="687"/>
    </row>
    <row r="413" spans="1:12" ht="42">
      <c r="A413" s="184" t="s">
        <v>913</v>
      </c>
      <c r="B413" s="185"/>
      <c r="C413" s="128"/>
      <c r="D413" s="121"/>
      <c r="E413" s="121"/>
      <c r="F413" s="121"/>
      <c r="G413" s="122"/>
      <c r="H413" s="121"/>
      <c r="I413" s="129"/>
      <c r="J413" s="121"/>
      <c r="K413" s="110">
        <f>SUM(K414+K436+K458+K480)</f>
        <v>151934</v>
      </c>
      <c r="L413" s="109"/>
    </row>
    <row r="414" spans="1:12" ht="21">
      <c r="A414" s="214" t="s">
        <v>914</v>
      </c>
      <c r="B414" s="185"/>
      <c r="C414" s="217"/>
      <c r="D414" s="218"/>
      <c r="E414" s="218"/>
      <c r="F414" s="218"/>
      <c r="G414" s="219"/>
      <c r="H414" s="218"/>
      <c r="I414" s="220"/>
      <c r="J414" s="218"/>
      <c r="K414" s="110">
        <f>SUM(K415+K418+K429+K432)</f>
        <v>37983.5</v>
      </c>
      <c r="L414" s="218"/>
    </row>
    <row r="415" spans="1:12">
      <c r="A415" s="714" t="s">
        <v>915</v>
      </c>
      <c r="B415" s="715"/>
      <c r="C415" s="124"/>
      <c r="D415" s="114"/>
      <c r="E415" s="114"/>
      <c r="F415" s="114"/>
      <c r="G415" s="115"/>
      <c r="H415" s="114"/>
      <c r="I415" s="125"/>
      <c r="J415" s="114"/>
      <c r="K415" s="117">
        <f>SUM(J416:J417)</f>
        <v>8436</v>
      </c>
      <c r="L415" s="157"/>
    </row>
    <row r="416" spans="1:12" ht="120">
      <c r="A416" s="164" t="s">
        <v>916</v>
      </c>
      <c r="B416" s="165"/>
      <c r="C416" s="141" t="s">
        <v>917</v>
      </c>
      <c r="D416" s="121">
        <v>22721</v>
      </c>
      <c r="E416" s="121">
        <v>1</v>
      </c>
      <c r="F416" s="121">
        <v>6</v>
      </c>
      <c r="G416" s="122">
        <f>F416*E416</f>
        <v>6</v>
      </c>
      <c r="H416" s="121" t="s">
        <v>639</v>
      </c>
      <c r="I416" s="129">
        <v>1006</v>
      </c>
      <c r="J416" s="109">
        <f t="shared" ref="J416:J428" si="59">I416*G416</f>
        <v>6036</v>
      </c>
      <c r="K416" s="670"/>
      <c r="L416" s="121" t="s">
        <v>630</v>
      </c>
    </row>
    <row r="417" spans="1:12" ht="105">
      <c r="A417" s="164" t="s">
        <v>904</v>
      </c>
      <c r="B417" s="165"/>
      <c r="C417" s="141" t="s">
        <v>648</v>
      </c>
      <c r="D417" s="121">
        <v>22721</v>
      </c>
      <c r="E417" s="121">
        <v>1</v>
      </c>
      <c r="F417" s="121">
        <v>4</v>
      </c>
      <c r="G417" s="122">
        <f>F417*E417</f>
        <v>4</v>
      </c>
      <c r="H417" s="121" t="s">
        <v>639</v>
      </c>
      <c r="I417" s="129">
        <v>600</v>
      </c>
      <c r="J417" s="109">
        <f t="shared" si="59"/>
        <v>2400</v>
      </c>
      <c r="K417" s="672"/>
      <c r="L417" s="121" t="s">
        <v>630</v>
      </c>
    </row>
    <row r="418" spans="1:12">
      <c r="A418" s="714" t="s">
        <v>918</v>
      </c>
      <c r="B418" s="715"/>
      <c r="C418" s="124"/>
      <c r="D418" s="114"/>
      <c r="E418" s="114"/>
      <c r="F418" s="114"/>
      <c r="G418" s="115"/>
      <c r="H418" s="114"/>
      <c r="I418" s="125"/>
      <c r="J418" s="114"/>
      <c r="K418" s="117">
        <f>SUM(J419:J428)</f>
        <v>19017.5</v>
      </c>
      <c r="L418" s="157"/>
    </row>
    <row r="419" spans="1:12" ht="30">
      <c r="A419" s="164" t="s">
        <v>919</v>
      </c>
      <c r="B419" s="165"/>
      <c r="C419" s="141" t="s">
        <v>920</v>
      </c>
      <c r="D419" s="121">
        <v>22888</v>
      </c>
      <c r="E419" s="121">
        <v>1</v>
      </c>
      <c r="F419" s="121">
        <v>5</v>
      </c>
      <c r="G419" s="122">
        <f t="shared" ref="G419:G426" si="60">F419*E419</f>
        <v>5</v>
      </c>
      <c r="H419" s="121" t="s">
        <v>639</v>
      </c>
      <c r="I419" s="129">
        <v>225</v>
      </c>
      <c r="J419" s="109">
        <f t="shared" si="59"/>
        <v>1125</v>
      </c>
      <c r="K419" s="658"/>
      <c r="L419" s="121" t="s">
        <v>630</v>
      </c>
    </row>
    <row r="420" spans="1:12" ht="45">
      <c r="A420" s="164" t="s">
        <v>768</v>
      </c>
      <c r="B420" s="165"/>
      <c r="C420" s="128"/>
      <c r="D420" s="121">
        <v>22888</v>
      </c>
      <c r="E420" s="121">
        <v>45</v>
      </c>
      <c r="F420" s="121">
        <v>5</v>
      </c>
      <c r="G420" s="122">
        <f t="shared" si="60"/>
        <v>225</v>
      </c>
      <c r="H420" s="121" t="s">
        <v>639</v>
      </c>
      <c r="I420" s="129">
        <v>17.5</v>
      </c>
      <c r="J420" s="109">
        <f t="shared" si="59"/>
        <v>3937.5</v>
      </c>
      <c r="K420" s="663"/>
      <c r="L420" s="121" t="s">
        <v>630</v>
      </c>
    </row>
    <row r="421" spans="1:12" ht="90">
      <c r="A421" s="118" t="s">
        <v>756</v>
      </c>
      <c r="B421" s="165"/>
      <c r="C421" s="141" t="s">
        <v>921</v>
      </c>
      <c r="D421" s="121">
        <v>22888</v>
      </c>
      <c r="E421" s="121">
        <v>15</v>
      </c>
      <c r="F421" s="121">
        <v>5</v>
      </c>
      <c r="G421" s="122">
        <f>E421*F421</f>
        <v>75</v>
      </c>
      <c r="H421" s="121" t="s">
        <v>639</v>
      </c>
      <c r="I421" s="129">
        <v>35</v>
      </c>
      <c r="J421" s="109">
        <f t="shared" si="59"/>
        <v>2625</v>
      </c>
      <c r="K421" s="663"/>
      <c r="L421" s="121" t="s">
        <v>630</v>
      </c>
    </row>
    <row r="422" spans="1:12">
      <c r="A422" s="164" t="s">
        <v>771</v>
      </c>
      <c r="B422" s="165"/>
      <c r="C422" s="128" t="s">
        <v>922</v>
      </c>
      <c r="D422" s="121">
        <v>22888</v>
      </c>
      <c r="E422" s="121">
        <v>1</v>
      </c>
      <c r="F422" s="121">
        <v>5</v>
      </c>
      <c r="G422" s="122">
        <f t="shared" si="60"/>
        <v>5</v>
      </c>
      <c r="H422" s="121" t="s">
        <v>639</v>
      </c>
      <c r="I422" s="129">
        <v>90</v>
      </c>
      <c r="J422" s="109">
        <f t="shared" si="59"/>
        <v>450</v>
      </c>
      <c r="K422" s="663"/>
      <c r="L422" s="121" t="s">
        <v>630</v>
      </c>
    </row>
    <row r="423" spans="1:12" ht="90">
      <c r="A423" s="164" t="s">
        <v>905</v>
      </c>
      <c r="B423" s="165"/>
      <c r="C423" s="141" t="s">
        <v>767</v>
      </c>
      <c r="D423" s="121">
        <v>12556</v>
      </c>
      <c r="E423" s="121">
        <v>1</v>
      </c>
      <c r="F423" s="121">
        <v>5</v>
      </c>
      <c r="G423" s="122">
        <f t="shared" si="60"/>
        <v>5</v>
      </c>
      <c r="H423" s="121" t="s">
        <v>639</v>
      </c>
      <c r="I423" s="129">
        <v>268</v>
      </c>
      <c r="J423" s="109">
        <f t="shared" si="59"/>
        <v>1340</v>
      </c>
      <c r="K423" s="663"/>
      <c r="L423" s="121" t="s">
        <v>630</v>
      </c>
    </row>
    <row r="424" spans="1:12" ht="30">
      <c r="A424" s="164" t="s">
        <v>923</v>
      </c>
      <c r="B424" s="165"/>
      <c r="C424" s="128"/>
      <c r="D424" s="121">
        <v>12556</v>
      </c>
      <c r="E424" s="121">
        <v>1</v>
      </c>
      <c r="F424" s="121">
        <v>5</v>
      </c>
      <c r="G424" s="122">
        <f t="shared" si="60"/>
        <v>5</v>
      </c>
      <c r="H424" s="121" t="s">
        <v>639</v>
      </c>
      <c r="I424" s="129">
        <v>150</v>
      </c>
      <c r="J424" s="109">
        <f t="shared" si="59"/>
        <v>750</v>
      </c>
      <c r="K424" s="663"/>
      <c r="L424" s="121" t="s">
        <v>630</v>
      </c>
    </row>
    <row r="425" spans="1:12">
      <c r="A425" s="164" t="s">
        <v>907</v>
      </c>
      <c r="B425" s="165"/>
      <c r="C425" s="128"/>
      <c r="D425" s="121">
        <v>12556</v>
      </c>
      <c r="E425" s="121">
        <v>1</v>
      </c>
      <c r="F425" s="121">
        <v>5</v>
      </c>
      <c r="G425" s="122">
        <f t="shared" si="60"/>
        <v>5</v>
      </c>
      <c r="H425" s="121" t="s">
        <v>639</v>
      </c>
      <c r="I425" s="129">
        <v>160</v>
      </c>
      <c r="J425" s="109">
        <f t="shared" si="59"/>
        <v>800</v>
      </c>
      <c r="K425" s="663"/>
      <c r="L425" s="121" t="s">
        <v>630</v>
      </c>
    </row>
    <row r="426" spans="1:12" ht="75">
      <c r="A426" s="164" t="s">
        <v>908</v>
      </c>
      <c r="B426" s="165"/>
      <c r="C426" s="141" t="s">
        <v>746</v>
      </c>
      <c r="D426" s="121">
        <v>12556</v>
      </c>
      <c r="E426" s="121">
        <v>4</v>
      </c>
      <c r="F426" s="121">
        <v>5</v>
      </c>
      <c r="G426" s="122">
        <f t="shared" si="60"/>
        <v>20</v>
      </c>
      <c r="H426" s="121" t="s">
        <v>639</v>
      </c>
      <c r="I426" s="129">
        <v>62</v>
      </c>
      <c r="J426" s="109">
        <f t="shared" si="59"/>
        <v>1240</v>
      </c>
      <c r="K426" s="663"/>
      <c r="L426" s="121" t="s">
        <v>630</v>
      </c>
    </row>
    <row r="427" spans="1:12" ht="60">
      <c r="A427" s="164" t="s">
        <v>669</v>
      </c>
      <c r="B427" s="165"/>
      <c r="C427" s="141" t="s">
        <v>912</v>
      </c>
      <c r="D427" s="121">
        <v>12556</v>
      </c>
      <c r="E427" s="121">
        <v>1</v>
      </c>
      <c r="F427" s="121">
        <v>5</v>
      </c>
      <c r="G427" s="122">
        <f t="shared" ref="G427:G428" si="61">E427*F427</f>
        <v>5</v>
      </c>
      <c r="H427" s="121" t="s">
        <v>639</v>
      </c>
      <c r="I427" s="129">
        <v>150</v>
      </c>
      <c r="J427" s="109">
        <f t="shared" si="59"/>
        <v>750</v>
      </c>
      <c r="K427" s="663"/>
      <c r="L427" s="121" t="s">
        <v>630</v>
      </c>
    </row>
    <row r="428" spans="1:12" ht="270">
      <c r="A428" s="164" t="s">
        <v>847</v>
      </c>
      <c r="B428" s="165"/>
      <c r="C428" s="141" t="s">
        <v>848</v>
      </c>
      <c r="D428" s="121">
        <v>12556</v>
      </c>
      <c r="E428" s="121">
        <v>1</v>
      </c>
      <c r="F428" s="121">
        <v>5</v>
      </c>
      <c r="G428" s="122">
        <f t="shared" si="61"/>
        <v>5</v>
      </c>
      <c r="H428" s="121" t="s">
        <v>639</v>
      </c>
      <c r="I428" s="129">
        <v>1200</v>
      </c>
      <c r="J428" s="109">
        <f t="shared" si="59"/>
        <v>6000</v>
      </c>
      <c r="K428" s="659"/>
      <c r="L428" s="121" t="s">
        <v>630</v>
      </c>
    </row>
    <row r="429" spans="1:12">
      <c r="A429" s="717" t="s">
        <v>681</v>
      </c>
      <c r="B429" s="718"/>
      <c r="C429" s="113"/>
      <c r="D429" s="114"/>
      <c r="E429" s="211"/>
      <c r="F429" s="114"/>
      <c r="G429" s="115"/>
      <c r="H429" s="114"/>
      <c r="I429" s="125"/>
      <c r="J429" s="157"/>
      <c r="K429" s="117">
        <f>SUM(J430:J431)</f>
        <v>2000</v>
      </c>
      <c r="L429" s="157"/>
    </row>
    <row r="430" spans="1:12" ht="30">
      <c r="A430" s="164" t="s">
        <v>682</v>
      </c>
      <c r="B430" s="165"/>
      <c r="C430" s="141"/>
      <c r="D430" s="121">
        <v>14591</v>
      </c>
      <c r="E430" s="146">
        <v>1</v>
      </c>
      <c r="F430" s="121">
        <v>5</v>
      </c>
      <c r="G430" s="122">
        <f>E430*F430</f>
        <v>5</v>
      </c>
      <c r="H430" s="121" t="s">
        <v>639</v>
      </c>
      <c r="I430" s="129">
        <v>220</v>
      </c>
      <c r="J430" s="109">
        <f t="shared" ref="J430:J431" si="62">I430*G430</f>
        <v>1100</v>
      </c>
      <c r="K430" s="658"/>
      <c r="L430" s="121" t="s">
        <v>630</v>
      </c>
    </row>
    <row r="431" spans="1:12" ht="45">
      <c r="A431" s="164" t="s">
        <v>683</v>
      </c>
      <c r="B431" s="165"/>
      <c r="C431" s="141"/>
      <c r="D431" s="121">
        <v>25631</v>
      </c>
      <c r="E431" s="146">
        <v>1</v>
      </c>
      <c r="F431" s="121">
        <v>5</v>
      </c>
      <c r="G431" s="122">
        <f>E431*F431</f>
        <v>5</v>
      </c>
      <c r="H431" s="121" t="s">
        <v>639</v>
      </c>
      <c r="I431" s="129">
        <v>180</v>
      </c>
      <c r="J431" s="109">
        <f t="shared" si="62"/>
        <v>900</v>
      </c>
      <c r="K431" s="659"/>
      <c r="L431" s="121" t="s">
        <v>630</v>
      </c>
    </row>
    <row r="432" spans="1:12">
      <c r="A432" s="712" t="s">
        <v>685</v>
      </c>
      <c r="B432" s="713"/>
      <c r="C432" s="124"/>
      <c r="D432" s="114"/>
      <c r="E432" s="114"/>
      <c r="F432" s="114"/>
      <c r="G432" s="115"/>
      <c r="H432" s="114"/>
      <c r="I432" s="125"/>
      <c r="J432" s="157"/>
      <c r="K432" s="117">
        <f>SUM(J433:J434)</f>
        <v>8530</v>
      </c>
      <c r="L432" s="157"/>
    </row>
    <row r="433" spans="1:12">
      <c r="A433" s="668" t="s">
        <v>910</v>
      </c>
      <c r="B433" s="696"/>
      <c r="C433" s="90"/>
      <c r="D433" s="121">
        <v>3697</v>
      </c>
      <c r="E433" s="121">
        <v>45</v>
      </c>
      <c r="F433" s="121">
        <v>5</v>
      </c>
      <c r="G433" s="122">
        <f t="shared" ref="G433:G434" si="63">E433*F433</f>
        <v>225</v>
      </c>
      <c r="H433" s="121" t="s">
        <v>692</v>
      </c>
      <c r="I433" s="129">
        <v>34</v>
      </c>
      <c r="J433" s="109">
        <f t="shared" ref="J433:J434" si="64">I433*G433</f>
        <v>7650</v>
      </c>
      <c r="K433" s="658"/>
      <c r="L433" s="121" t="s">
        <v>630</v>
      </c>
    </row>
    <row r="434" spans="1:12">
      <c r="A434" s="668" t="s">
        <v>796</v>
      </c>
      <c r="B434" s="675"/>
      <c r="C434" s="213"/>
      <c r="D434" s="121">
        <v>3697</v>
      </c>
      <c r="E434" s="121">
        <v>8</v>
      </c>
      <c r="F434" s="121">
        <v>5</v>
      </c>
      <c r="G434" s="122">
        <f t="shared" si="63"/>
        <v>40</v>
      </c>
      <c r="H434" s="121" t="s">
        <v>924</v>
      </c>
      <c r="I434" s="129">
        <v>22</v>
      </c>
      <c r="J434" s="109">
        <f t="shared" si="64"/>
        <v>880</v>
      </c>
      <c r="K434" s="659"/>
      <c r="L434" s="121" t="s">
        <v>630</v>
      </c>
    </row>
    <row r="435" spans="1:12">
      <c r="A435" s="686"/>
      <c r="B435" s="687"/>
      <c r="C435" s="687"/>
      <c r="D435" s="687"/>
      <c r="E435" s="687"/>
      <c r="F435" s="687"/>
      <c r="G435" s="687"/>
      <c r="H435" s="687"/>
      <c r="I435" s="687"/>
      <c r="J435" s="687"/>
      <c r="K435" s="687"/>
      <c r="L435" s="687"/>
    </row>
    <row r="436" spans="1:12" ht="21">
      <c r="A436" s="214" t="s">
        <v>925</v>
      </c>
      <c r="B436" s="185"/>
      <c r="C436" s="217"/>
      <c r="D436" s="218"/>
      <c r="E436" s="218"/>
      <c r="F436" s="218"/>
      <c r="G436" s="219"/>
      <c r="H436" s="218"/>
      <c r="I436" s="220"/>
      <c r="J436" s="218"/>
      <c r="K436" s="110">
        <f>SUM(K437+K440+K451+K454)</f>
        <v>37983.5</v>
      </c>
      <c r="L436" s="218"/>
    </row>
    <row r="437" spans="1:12">
      <c r="A437" s="714" t="s">
        <v>915</v>
      </c>
      <c r="B437" s="715"/>
      <c r="C437" s="124"/>
      <c r="D437" s="114"/>
      <c r="E437" s="114"/>
      <c r="F437" s="114"/>
      <c r="G437" s="115"/>
      <c r="H437" s="114"/>
      <c r="I437" s="125"/>
      <c r="J437" s="114"/>
      <c r="K437" s="117">
        <f>SUM(J438:J439)</f>
        <v>8436</v>
      </c>
      <c r="L437" s="114"/>
    </row>
    <row r="438" spans="1:12" ht="120">
      <c r="A438" s="164" t="s">
        <v>916</v>
      </c>
      <c r="B438" s="165"/>
      <c r="C438" s="141" t="s">
        <v>917</v>
      </c>
      <c r="D438" s="121">
        <v>22721</v>
      </c>
      <c r="E438" s="121">
        <v>1</v>
      </c>
      <c r="F438" s="121">
        <v>6</v>
      </c>
      <c r="G438" s="122">
        <f>F438*E438</f>
        <v>6</v>
      </c>
      <c r="H438" s="121" t="s">
        <v>639</v>
      </c>
      <c r="I438" s="129">
        <v>1006</v>
      </c>
      <c r="J438" s="109">
        <f t="shared" ref="J438:J450" si="65">I438*G438</f>
        <v>6036</v>
      </c>
      <c r="K438" s="670"/>
      <c r="L438" s="121" t="s">
        <v>630</v>
      </c>
    </row>
    <row r="439" spans="1:12" ht="105">
      <c r="A439" s="164" t="s">
        <v>904</v>
      </c>
      <c r="B439" s="165"/>
      <c r="C439" s="141" t="s">
        <v>648</v>
      </c>
      <c r="D439" s="121">
        <v>22721</v>
      </c>
      <c r="E439" s="121">
        <v>1</v>
      </c>
      <c r="F439" s="121">
        <v>4</v>
      </c>
      <c r="G439" s="122">
        <f>F439*E439</f>
        <v>4</v>
      </c>
      <c r="H439" s="121" t="s">
        <v>639</v>
      </c>
      <c r="I439" s="129">
        <v>600</v>
      </c>
      <c r="J439" s="109">
        <f t="shared" si="65"/>
        <v>2400</v>
      </c>
      <c r="K439" s="672"/>
      <c r="L439" s="121" t="s">
        <v>630</v>
      </c>
    </row>
    <row r="440" spans="1:12">
      <c r="A440" s="714" t="s">
        <v>918</v>
      </c>
      <c r="B440" s="715"/>
      <c r="C440" s="124"/>
      <c r="D440" s="114"/>
      <c r="E440" s="114"/>
      <c r="F440" s="114"/>
      <c r="G440" s="115"/>
      <c r="H440" s="114"/>
      <c r="I440" s="125"/>
      <c r="J440" s="114"/>
      <c r="K440" s="117">
        <f>SUM(J441:J450)</f>
        <v>19017.5</v>
      </c>
      <c r="L440" s="114"/>
    </row>
    <row r="441" spans="1:12" ht="30">
      <c r="A441" s="164" t="s">
        <v>919</v>
      </c>
      <c r="B441" s="165"/>
      <c r="C441" s="141" t="s">
        <v>920</v>
      </c>
      <c r="D441" s="121">
        <v>22888</v>
      </c>
      <c r="E441" s="121">
        <v>1</v>
      </c>
      <c r="F441" s="121">
        <v>5</v>
      </c>
      <c r="G441" s="122">
        <f t="shared" ref="G441:G442" si="66">F441*E441</f>
        <v>5</v>
      </c>
      <c r="H441" s="121" t="s">
        <v>639</v>
      </c>
      <c r="I441" s="129">
        <v>225</v>
      </c>
      <c r="J441" s="109">
        <f t="shared" si="65"/>
        <v>1125</v>
      </c>
      <c r="K441" s="658"/>
      <c r="L441" s="121" t="s">
        <v>630</v>
      </c>
    </row>
    <row r="442" spans="1:12" ht="45">
      <c r="A442" s="164" t="s">
        <v>768</v>
      </c>
      <c r="B442" s="165"/>
      <c r="C442" s="128"/>
      <c r="D442" s="121">
        <v>22888</v>
      </c>
      <c r="E442" s="121">
        <v>45</v>
      </c>
      <c r="F442" s="121">
        <v>5</v>
      </c>
      <c r="G442" s="122">
        <f t="shared" si="66"/>
        <v>225</v>
      </c>
      <c r="H442" s="121" t="s">
        <v>639</v>
      </c>
      <c r="I442" s="129">
        <v>17.5</v>
      </c>
      <c r="J442" s="109">
        <f t="shared" si="65"/>
        <v>3937.5</v>
      </c>
      <c r="K442" s="663"/>
      <c r="L442" s="121" t="s">
        <v>630</v>
      </c>
    </row>
    <row r="443" spans="1:12" ht="90">
      <c r="A443" s="118" t="s">
        <v>756</v>
      </c>
      <c r="B443" s="165"/>
      <c r="C443" s="141" t="s">
        <v>921</v>
      </c>
      <c r="D443" s="121">
        <v>22888</v>
      </c>
      <c r="E443" s="121">
        <v>15</v>
      </c>
      <c r="F443" s="121">
        <v>5</v>
      </c>
      <c r="G443" s="122">
        <f>E443*F443</f>
        <v>75</v>
      </c>
      <c r="H443" s="121" t="s">
        <v>639</v>
      </c>
      <c r="I443" s="129">
        <v>35</v>
      </c>
      <c r="J443" s="109">
        <f t="shared" si="65"/>
        <v>2625</v>
      </c>
      <c r="K443" s="663"/>
      <c r="L443" s="121" t="s">
        <v>630</v>
      </c>
    </row>
    <row r="444" spans="1:12">
      <c r="A444" s="164" t="s">
        <v>771</v>
      </c>
      <c r="B444" s="165"/>
      <c r="C444" s="128" t="s">
        <v>922</v>
      </c>
      <c r="D444" s="121">
        <v>22888</v>
      </c>
      <c r="E444" s="121">
        <v>1</v>
      </c>
      <c r="F444" s="121">
        <v>5</v>
      </c>
      <c r="G444" s="122">
        <f t="shared" ref="G444:G448" si="67">F444*E444</f>
        <v>5</v>
      </c>
      <c r="H444" s="121" t="s">
        <v>639</v>
      </c>
      <c r="I444" s="129">
        <v>90</v>
      </c>
      <c r="J444" s="109">
        <f t="shared" si="65"/>
        <v>450</v>
      </c>
      <c r="K444" s="663"/>
      <c r="L444" s="121" t="s">
        <v>630</v>
      </c>
    </row>
    <row r="445" spans="1:12" ht="90">
      <c r="A445" s="164" t="s">
        <v>905</v>
      </c>
      <c r="B445" s="165"/>
      <c r="C445" s="141" t="s">
        <v>767</v>
      </c>
      <c r="D445" s="121">
        <v>12556</v>
      </c>
      <c r="E445" s="121">
        <v>1</v>
      </c>
      <c r="F445" s="121">
        <v>5</v>
      </c>
      <c r="G445" s="122">
        <f t="shared" si="67"/>
        <v>5</v>
      </c>
      <c r="H445" s="121" t="s">
        <v>639</v>
      </c>
      <c r="I445" s="129">
        <v>268</v>
      </c>
      <c r="J445" s="109">
        <f t="shared" si="65"/>
        <v>1340</v>
      </c>
      <c r="K445" s="663"/>
      <c r="L445" s="121" t="s">
        <v>630</v>
      </c>
    </row>
    <row r="446" spans="1:12" ht="30">
      <c r="A446" s="164" t="s">
        <v>923</v>
      </c>
      <c r="B446" s="165"/>
      <c r="C446" s="128"/>
      <c r="D446" s="121">
        <v>12556</v>
      </c>
      <c r="E446" s="121">
        <v>1</v>
      </c>
      <c r="F446" s="121">
        <v>5</v>
      </c>
      <c r="G446" s="122">
        <f t="shared" si="67"/>
        <v>5</v>
      </c>
      <c r="H446" s="121" t="s">
        <v>639</v>
      </c>
      <c r="I446" s="129">
        <v>150</v>
      </c>
      <c r="J446" s="109">
        <f t="shared" si="65"/>
        <v>750</v>
      </c>
      <c r="K446" s="663"/>
      <c r="L446" s="121" t="s">
        <v>630</v>
      </c>
    </row>
    <row r="447" spans="1:12">
      <c r="A447" s="164" t="s">
        <v>907</v>
      </c>
      <c r="B447" s="165"/>
      <c r="C447" s="128"/>
      <c r="D447" s="121">
        <v>12556</v>
      </c>
      <c r="E447" s="121">
        <v>1</v>
      </c>
      <c r="F447" s="121">
        <v>5</v>
      </c>
      <c r="G447" s="122">
        <f t="shared" si="67"/>
        <v>5</v>
      </c>
      <c r="H447" s="121" t="s">
        <v>639</v>
      </c>
      <c r="I447" s="129">
        <v>160</v>
      </c>
      <c r="J447" s="109">
        <f t="shared" si="65"/>
        <v>800</v>
      </c>
      <c r="K447" s="663"/>
      <c r="L447" s="121" t="s">
        <v>630</v>
      </c>
    </row>
    <row r="448" spans="1:12" ht="75">
      <c r="A448" s="164" t="s">
        <v>908</v>
      </c>
      <c r="B448" s="165"/>
      <c r="C448" s="141" t="s">
        <v>746</v>
      </c>
      <c r="D448" s="121">
        <v>12556</v>
      </c>
      <c r="E448" s="121">
        <v>4</v>
      </c>
      <c r="F448" s="121">
        <v>5</v>
      </c>
      <c r="G448" s="122">
        <f t="shared" si="67"/>
        <v>20</v>
      </c>
      <c r="H448" s="121" t="s">
        <v>639</v>
      </c>
      <c r="I448" s="129">
        <v>62</v>
      </c>
      <c r="J448" s="109">
        <f t="shared" si="65"/>
        <v>1240</v>
      </c>
      <c r="K448" s="663"/>
      <c r="L448" s="121" t="s">
        <v>630</v>
      </c>
    </row>
    <row r="449" spans="1:12" ht="60">
      <c r="A449" s="164" t="s">
        <v>669</v>
      </c>
      <c r="B449" s="165"/>
      <c r="C449" s="141" t="s">
        <v>912</v>
      </c>
      <c r="D449" s="121">
        <v>12556</v>
      </c>
      <c r="E449" s="121">
        <v>1</v>
      </c>
      <c r="F449" s="121">
        <v>5</v>
      </c>
      <c r="G449" s="122">
        <f t="shared" ref="G449:G450" si="68">E449*F449</f>
        <v>5</v>
      </c>
      <c r="H449" s="121" t="s">
        <v>639</v>
      </c>
      <c r="I449" s="129">
        <v>150</v>
      </c>
      <c r="J449" s="109">
        <f t="shared" si="65"/>
        <v>750</v>
      </c>
      <c r="K449" s="663"/>
      <c r="L449" s="121" t="s">
        <v>630</v>
      </c>
    </row>
    <row r="450" spans="1:12" ht="270">
      <c r="A450" s="164" t="s">
        <v>847</v>
      </c>
      <c r="B450" s="165"/>
      <c r="C450" s="141" t="s">
        <v>848</v>
      </c>
      <c r="D450" s="121">
        <v>12556</v>
      </c>
      <c r="E450" s="121">
        <v>1</v>
      </c>
      <c r="F450" s="121">
        <v>5</v>
      </c>
      <c r="G450" s="122">
        <f t="shared" si="68"/>
        <v>5</v>
      </c>
      <c r="H450" s="121" t="s">
        <v>639</v>
      </c>
      <c r="I450" s="129">
        <v>1200</v>
      </c>
      <c r="J450" s="109">
        <f t="shared" si="65"/>
        <v>6000</v>
      </c>
      <c r="K450" s="659"/>
      <c r="L450" s="121" t="s">
        <v>630</v>
      </c>
    </row>
    <row r="451" spans="1:12">
      <c r="A451" s="717" t="s">
        <v>681</v>
      </c>
      <c r="B451" s="718"/>
      <c r="C451" s="113"/>
      <c r="D451" s="114"/>
      <c r="E451" s="211"/>
      <c r="F451" s="114"/>
      <c r="G451" s="115"/>
      <c r="H451" s="114"/>
      <c r="I451" s="125"/>
      <c r="J451" s="157"/>
      <c r="K451" s="117">
        <f>SUM(J452:J453)</f>
        <v>2000</v>
      </c>
      <c r="L451" s="114"/>
    </row>
    <row r="452" spans="1:12" ht="30">
      <c r="A452" s="164" t="s">
        <v>682</v>
      </c>
      <c r="B452" s="165"/>
      <c r="C452" s="141"/>
      <c r="D452" s="121">
        <v>14591</v>
      </c>
      <c r="E452" s="146">
        <v>1</v>
      </c>
      <c r="F452" s="121">
        <v>5</v>
      </c>
      <c r="G452" s="122">
        <f>E452*F452</f>
        <v>5</v>
      </c>
      <c r="H452" s="121" t="s">
        <v>639</v>
      </c>
      <c r="I452" s="129">
        <v>220</v>
      </c>
      <c r="J452" s="109">
        <f t="shared" ref="J452:J453" si="69">I452*G452</f>
        <v>1100</v>
      </c>
      <c r="K452" s="658"/>
      <c r="L452" s="121" t="s">
        <v>630</v>
      </c>
    </row>
    <row r="453" spans="1:12" ht="45">
      <c r="A453" s="164" t="s">
        <v>683</v>
      </c>
      <c r="B453" s="165"/>
      <c r="C453" s="141"/>
      <c r="D453" s="121">
        <v>25631</v>
      </c>
      <c r="E453" s="146">
        <v>1</v>
      </c>
      <c r="F453" s="121">
        <v>5</v>
      </c>
      <c r="G453" s="122">
        <f>E453*F453</f>
        <v>5</v>
      </c>
      <c r="H453" s="121" t="s">
        <v>639</v>
      </c>
      <c r="I453" s="129">
        <v>180</v>
      </c>
      <c r="J453" s="109">
        <f t="shared" si="69"/>
        <v>900</v>
      </c>
      <c r="K453" s="659"/>
      <c r="L453" s="121" t="s">
        <v>630</v>
      </c>
    </row>
    <row r="454" spans="1:12">
      <c r="A454" s="712" t="s">
        <v>685</v>
      </c>
      <c r="B454" s="713"/>
      <c r="C454" s="124"/>
      <c r="D454" s="114"/>
      <c r="E454" s="114"/>
      <c r="F454" s="114"/>
      <c r="G454" s="115"/>
      <c r="H454" s="114"/>
      <c r="I454" s="125"/>
      <c r="J454" s="157"/>
      <c r="K454" s="117">
        <f>SUM(J455:J456)</f>
        <v>8530</v>
      </c>
      <c r="L454" s="114"/>
    </row>
    <row r="455" spans="1:12">
      <c r="A455" s="668" t="s">
        <v>910</v>
      </c>
      <c r="B455" s="696"/>
      <c r="C455" s="90"/>
      <c r="D455" s="121">
        <v>3697</v>
      </c>
      <c r="E455" s="121">
        <v>45</v>
      </c>
      <c r="F455" s="121">
        <v>5</v>
      </c>
      <c r="G455" s="122">
        <f t="shared" ref="G455:G456" si="70">E455*F455</f>
        <v>225</v>
      </c>
      <c r="H455" s="121" t="s">
        <v>692</v>
      </c>
      <c r="I455" s="129">
        <v>34</v>
      </c>
      <c r="J455" s="109">
        <f t="shared" ref="J455:J456" si="71">I455*G455</f>
        <v>7650</v>
      </c>
      <c r="K455" s="658"/>
      <c r="L455" s="121" t="s">
        <v>630</v>
      </c>
    </row>
    <row r="456" spans="1:12">
      <c r="A456" s="668" t="s">
        <v>796</v>
      </c>
      <c r="B456" s="675"/>
      <c r="C456" s="213"/>
      <c r="D456" s="121">
        <v>3697</v>
      </c>
      <c r="E456" s="121">
        <v>8</v>
      </c>
      <c r="F456" s="121">
        <v>5</v>
      </c>
      <c r="G456" s="122">
        <f t="shared" si="70"/>
        <v>40</v>
      </c>
      <c r="H456" s="121" t="s">
        <v>924</v>
      </c>
      <c r="I456" s="129">
        <v>22</v>
      </c>
      <c r="J456" s="109">
        <f t="shared" si="71"/>
        <v>880</v>
      </c>
      <c r="K456" s="659"/>
      <c r="L456" s="121" t="s">
        <v>630</v>
      </c>
    </row>
    <row r="457" spans="1:12">
      <c r="A457" s="686"/>
      <c r="B457" s="687"/>
      <c r="C457" s="687"/>
      <c r="D457" s="687"/>
      <c r="E457" s="687"/>
      <c r="F457" s="687"/>
      <c r="G457" s="687"/>
      <c r="H457" s="687"/>
      <c r="I457" s="687"/>
      <c r="J457" s="687"/>
      <c r="K457" s="687"/>
      <c r="L457" s="687"/>
    </row>
    <row r="458" spans="1:12" ht="38.25">
      <c r="A458" s="214" t="s">
        <v>926</v>
      </c>
      <c r="B458" s="185"/>
      <c r="C458" s="217"/>
      <c r="D458" s="218"/>
      <c r="E458" s="218"/>
      <c r="F458" s="218"/>
      <c r="G458" s="219"/>
      <c r="H458" s="218"/>
      <c r="I458" s="220"/>
      <c r="J458" s="218"/>
      <c r="K458" s="110">
        <f>SUM(K459+K462+K473+K476)</f>
        <v>37983.5</v>
      </c>
      <c r="L458" s="218"/>
    </row>
    <row r="459" spans="1:12">
      <c r="A459" s="714" t="s">
        <v>915</v>
      </c>
      <c r="B459" s="715"/>
      <c r="C459" s="124"/>
      <c r="D459" s="114"/>
      <c r="E459" s="114"/>
      <c r="F459" s="114"/>
      <c r="G459" s="115"/>
      <c r="H459" s="114"/>
      <c r="I459" s="125"/>
      <c r="J459" s="114"/>
      <c r="K459" s="117">
        <f>SUM(J460:J461)</f>
        <v>8436</v>
      </c>
      <c r="L459" s="114"/>
    </row>
    <row r="460" spans="1:12" ht="120">
      <c r="A460" s="164" t="s">
        <v>916</v>
      </c>
      <c r="B460" s="165"/>
      <c r="C460" s="141" t="s">
        <v>917</v>
      </c>
      <c r="D460" s="121">
        <v>22721</v>
      </c>
      <c r="E460" s="121">
        <v>1</v>
      </c>
      <c r="F460" s="121">
        <v>6</v>
      </c>
      <c r="G460" s="122">
        <f>F460*E460</f>
        <v>6</v>
      </c>
      <c r="H460" s="121" t="s">
        <v>639</v>
      </c>
      <c r="I460" s="129">
        <v>1006</v>
      </c>
      <c r="J460" s="109">
        <f t="shared" ref="J460:J472" si="72">I460*G460</f>
        <v>6036</v>
      </c>
      <c r="K460" s="670"/>
      <c r="L460" s="121" t="s">
        <v>630</v>
      </c>
    </row>
    <row r="461" spans="1:12" ht="105">
      <c r="A461" s="164" t="s">
        <v>904</v>
      </c>
      <c r="B461" s="165"/>
      <c r="C461" s="141" t="s">
        <v>648</v>
      </c>
      <c r="D461" s="121">
        <v>22721</v>
      </c>
      <c r="E461" s="121">
        <v>1</v>
      </c>
      <c r="F461" s="121">
        <v>4</v>
      </c>
      <c r="G461" s="122">
        <f>F461*E461</f>
        <v>4</v>
      </c>
      <c r="H461" s="121" t="s">
        <v>639</v>
      </c>
      <c r="I461" s="129">
        <v>600</v>
      </c>
      <c r="J461" s="109">
        <f t="shared" si="72"/>
        <v>2400</v>
      </c>
      <c r="K461" s="672"/>
      <c r="L461" s="121" t="s">
        <v>630</v>
      </c>
    </row>
    <row r="462" spans="1:12">
      <c r="A462" s="714" t="s">
        <v>918</v>
      </c>
      <c r="B462" s="715"/>
      <c r="C462" s="124"/>
      <c r="D462" s="114"/>
      <c r="E462" s="114"/>
      <c r="F462" s="114"/>
      <c r="G462" s="115"/>
      <c r="H462" s="114"/>
      <c r="I462" s="125"/>
      <c r="J462" s="114"/>
      <c r="K462" s="117">
        <f>SUM(J463:J472)</f>
        <v>19017.5</v>
      </c>
      <c r="L462" s="114"/>
    </row>
    <row r="463" spans="1:12" ht="30">
      <c r="A463" s="164" t="s">
        <v>919</v>
      </c>
      <c r="B463" s="165"/>
      <c r="C463" s="141" t="s">
        <v>920</v>
      </c>
      <c r="D463" s="121">
        <v>22888</v>
      </c>
      <c r="E463" s="121">
        <v>1</v>
      </c>
      <c r="F463" s="121">
        <v>5</v>
      </c>
      <c r="G463" s="122">
        <f t="shared" ref="G463:G464" si="73">F463*E463</f>
        <v>5</v>
      </c>
      <c r="H463" s="121" t="s">
        <v>639</v>
      </c>
      <c r="I463" s="129">
        <v>225</v>
      </c>
      <c r="J463" s="109">
        <f t="shared" si="72"/>
        <v>1125</v>
      </c>
      <c r="K463" s="658"/>
      <c r="L463" s="121" t="s">
        <v>630</v>
      </c>
    </row>
    <row r="464" spans="1:12" ht="45">
      <c r="A464" s="164" t="s">
        <v>768</v>
      </c>
      <c r="B464" s="165"/>
      <c r="C464" s="128"/>
      <c r="D464" s="121">
        <v>22888</v>
      </c>
      <c r="E464" s="121">
        <v>45</v>
      </c>
      <c r="F464" s="121">
        <v>5</v>
      </c>
      <c r="G464" s="122">
        <f t="shared" si="73"/>
        <v>225</v>
      </c>
      <c r="H464" s="121" t="s">
        <v>639</v>
      </c>
      <c r="I464" s="129">
        <v>17.5</v>
      </c>
      <c r="J464" s="109">
        <f t="shared" si="72"/>
        <v>3937.5</v>
      </c>
      <c r="K464" s="663"/>
      <c r="L464" s="121" t="s">
        <v>630</v>
      </c>
    </row>
    <row r="465" spans="1:12" ht="90">
      <c r="A465" s="118" t="s">
        <v>756</v>
      </c>
      <c r="B465" s="165"/>
      <c r="C465" s="141" t="s">
        <v>921</v>
      </c>
      <c r="D465" s="121">
        <v>22888</v>
      </c>
      <c r="E465" s="121">
        <v>15</v>
      </c>
      <c r="F465" s="121">
        <v>5</v>
      </c>
      <c r="G465" s="122">
        <f>E465*F465</f>
        <v>75</v>
      </c>
      <c r="H465" s="121" t="s">
        <v>639</v>
      </c>
      <c r="I465" s="129">
        <v>35</v>
      </c>
      <c r="J465" s="109">
        <f t="shared" si="72"/>
        <v>2625</v>
      </c>
      <c r="K465" s="663"/>
      <c r="L465" s="121" t="s">
        <v>630</v>
      </c>
    </row>
    <row r="466" spans="1:12">
      <c r="A466" s="164" t="s">
        <v>771</v>
      </c>
      <c r="B466" s="165"/>
      <c r="C466" s="128" t="s">
        <v>922</v>
      </c>
      <c r="D466" s="121">
        <v>22888</v>
      </c>
      <c r="E466" s="121">
        <v>1</v>
      </c>
      <c r="F466" s="121">
        <v>5</v>
      </c>
      <c r="G466" s="122">
        <f t="shared" ref="G466:G470" si="74">F466*E466</f>
        <v>5</v>
      </c>
      <c r="H466" s="121" t="s">
        <v>639</v>
      </c>
      <c r="I466" s="129">
        <v>90</v>
      </c>
      <c r="J466" s="109">
        <f t="shared" si="72"/>
        <v>450</v>
      </c>
      <c r="K466" s="663"/>
      <c r="L466" s="121" t="s">
        <v>630</v>
      </c>
    </row>
    <row r="467" spans="1:12" ht="90">
      <c r="A467" s="164" t="s">
        <v>905</v>
      </c>
      <c r="B467" s="165"/>
      <c r="C467" s="141" t="s">
        <v>767</v>
      </c>
      <c r="D467" s="121">
        <v>12556</v>
      </c>
      <c r="E467" s="121">
        <v>1</v>
      </c>
      <c r="F467" s="121">
        <v>5</v>
      </c>
      <c r="G467" s="122">
        <f t="shared" si="74"/>
        <v>5</v>
      </c>
      <c r="H467" s="121" t="s">
        <v>639</v>
      </c>
      <c r="I467" s="129">
        <v>268</v>
      </c>
      <c r="J467" s="109">
        <f t="shared" si="72"/>
        <v>1340</v>
      </c>
      <c r="K467" s="663"/>
      <c r="L467" s="121" t="s">
        <v>630</v>
      </c>
    </row>
    <row r="468" spans="1:12" ht="30">
      <c r="A468" s="164" t="s">
        <v>923</v>
      </c>
      <c r="B468" s="165"/>
      <c r="C468" s="128"/>
      <c r="D468" s="121">
        <v>12556</v>
      </c>
      <c r="E468" s="121">
        <v>1</v>
      </c>
      <c r="F468" s="121">
        <v>5</v>
      </c>
      <c r="G468" s="122">
        <f t="shared" si="74"/>
        <v>5</v>
      </c>
      <c r="H468" s="121" t="s">
        <v>639</v>
      </c>
      <c r="I468" s="129">
        <v>150</v>
      </c>
      <c r="J468" s="109">
        <f t="shared" si="72"/>
        <v>750</v>
      </c>
      <c r="K468" s="663"/>
      <c r="L468" s="121" t="s">
        <v>630</v>
      </c>
    </row>
    <row r="469" spans="1:12">
      <c r="A469" s="164" t="s">
        <v>907</v>
      </c>
      <c r="B469" s="165"/>
      <c r="C469" s="128"/>
      <c r="D469" s="121">
        <v>12556</v>
      </c>
      <c r="E469" s="121">
        <v>1</v>
      </c>
      <c r="F469" s="121">
        <v>5</v>
      </c>
      <c r="G469" s="122">
        <f t="shared" si="74"/>
        <v>5</v>
      </c>
      <c r="H469" s="121" t="s">
        <v>639</v>
      </c>
      <c r="I469" s="129">
        <v>160</v>
      </c>
      <c r="J469" s="109">
        <f t="shared" si="72"/>
        <v>800</v>
      </c>
      <c r="K469" s="663"/>
      <c r="L469" s="121" t="s">
        <v>630</v>
      </c>
    </row>
    <row r="470" spans="1:12" ht="75">
      <c r="A470" s="164" t="s">
        <v>908</v>
      </c>
      <c r="B470" s="165"/>
      <c r="C470" s="141" t="s">
        <v>746</v>
      </c>
      <c r="D470" s="121">
        <v>12556</v>
      </c>
      <c r="E470" s="121">
        <v>4</v>
      </c>
      <c r="F470" s="121">
        <v>5</v>
      </c>
      <c r="G470" s="122">
        <f t="shared" si="74"/>
        <v>20</v>
      </c>
      <c r="H470" s="121" t="s">
        <v>639</v>
      </c>
      <c r="I470" s="129">
        <v>62</v>
      </c>
      <c r="J470" s="109">
        <f t="shared" si="72"/>
        <v>1240</v>
      </c>
      <c r="K470" s="663"/>
      <c r="L470" s="121" t="s">
        <v>630</v>
      </c>
    </row>
    <row r="471" spans="1:12" ht="60">
      <c r="A471" s="164" t="s">
        <v>669</v>
      </c>
      <c r="B471" s="165"/>
      <c r="C471" s="141" t="s">
        <v>912</v>
      </c>
      <c r="D471" s="121">
        <v>12556</v>
      </c>
      <c r="E471" s="121">
        <v>1</v>
      </c>
      <c r="F471" s="121">
        <v>5</v>
      </c>
      <c r="G471" s="122">
        <f t="shared" ref="G471:G472" si="75">E471*F471</f>
        <v>5</v>
      </c>
      <c r="H471" s="121" t="s">
        <v>639</v>
      </c>
      <c r="I471" s="129">
        <v>150</v>
      </c>
      <c r="J471" s="109">
        <f t="shared" si="72"/>
        <v>750</v>
      </c>
      <c r="K471" s="663"/>
      <c r="L471" s="121" t="s">
        <v>630</v>
      </c>
    </row>
    <row r="472" spans="1:12" ht="270">
      <c r="A472" s="164" t="s">
        <v>847</v>
      </c>
      <c r="B472" s="165"/>
      <c r="C472" s="141" t="s">
        <v>848</v>
      </c>
      <c r="D472" s="121">
        <v>12556</v>
      </c>
      <c r="E472" s="121">
        <v>1</v>
      </c>
      <c r="F472" s="121">
        <v>5</v>
      </c>
      <c r="G472" s="122">
        <f t="shared" si="75"/>
        <v>5</v>
      </c>
      <c r="H472" s="121" t="s">
        <v>639</v>
      </c>
      <c r="I472" s="129">
        <v>1200</v>
      </c>
      <c r="J472" s="109">
        <f t="shared" si="72"/>
        <v>6000</v>
      </c>
      <c r="K472" s="659"/>
      <c r="L472" s="121" t="s">
        <v>630</v>
      </c>
    </row>
    <row r="473" spans="1:12">
      <c r="A473" s="717" t="s">
        <v>681</v>
      </c>
      <c r="B473" s="718"/>
      <c r="C473" s="113"/>
      <c r="D473" s="114"/>
      <c r="E473" s="211"/>
      <c r="F473" s="114"/>
      <c r="G473" s="115"/>
      <c r="H473" s="114"/>
      <c r="I473" s="125"/>
      <c r="J473" s="157"/>
      <c r="K473" s="117">
        <f>SUM(J474:J475)</f>
        <v>2000</v>
      </c>
      <c r="L473" s="114"/>
    </row>
    <row r="474" spans="1:12" ht="30">
      <c r="A474" s="164" t="s">
        <v>682</v>
      </c>
      <c r="B474" s="165"/>
      <c r="C474" s="141"/>
      <c r="D474" s="121">
        <v>14591</v>
      </c>
      <c r="E474" s="146">
        <v>1</v>
      </c>
      <c r="F474" s="121">
        <v>5</v>
      </c>
      <c r="G474" s="122">
        <f>E474*F474</f>
        <v>5</v>
      </c>
      <c r="H474" s="121" t="s">
        <v>639</v>
      </c>
      <c r="I474" s="129">
        <v>220</v>
      </c>
      <c r="J474" s="109">
        <f t="shared" ref="J474:J475" si="76">I474*G474</f>
        <v>1100</v>
      </c>
      <c r="K474" s="658"/>
      <c r="L474" s="121" t="s">
        <v>630</v>
      </c>
    </row>
    <row r="475" spans="1:12" ht="45">
      <c r="A475" s="164" t="s">
        <v>683</v>
      </c>
      <c r="B475" s="165"/>
      <c r="C475" s="141"/>
      <c r="D475" s="121">
        <v>25631</v>
      </c>
      <c r="E475" s="146">
        <v>1</v>
      </c>
      <c r="F475" s="121">
        <v>5</v>
      </c>
      <c r="G475" s="122">
        <f>E475*F475</f>
        <v>5</v>
      </c>
      <c r="H475" s="121" t="s">
        <v>639</v>
      </c>
      <c r="I475" s="129">
        <v>180</v>
      </c>
      <c r="J475" s="109">
        <f t="shared" si="76"/>
        <v>900</v>
      </c>
      <c r="K475" s="659"/>
      <c r="L475" s="121" t="s">
        <v>630</v>
      </c>
    </row>
    <row r="476" spans="1:12">
      <c r="A476" s="712" t="s">
        <v>685</v>
      </c>
      <c r="B476" s="713"/>
      <c r="C476" s="124"/>
      <c r="D476" s="114"/>
      <c r="E476" s="114"/>
      <c r="F476" s="114"/>
      <c r="G476" s="115"/>
      <c r="H476" s="114"/>
      <c r="I476" s="125"/>
      <c r="J476" s="157"/>
      <c r="K476" s="117">
        <f>SUM(J477:J478)</f>
        <v>8530</v>
      </c>
      <c r="L476" s="114"/>
    </row>
    <row r="477" spans="1:12">
      <c r="A477" s="668" t="s">
        <v>910</v>
      </c>
      <c r="B477" s="696"/>
      <c r="C477" s="90"/>
      <c r="D477" s="121">
        <v>3697</v>
      </c>
      <c r="E477" s="121">
        <v>45</v>
      </c>
      <c r="F477" s="121">
        <v>5</v>
      </c>
      <c r="G477" s="122">
        <f t="shared" ref="G477:G478" si="77">E477*F477</f>
        <v>225</v>
      </c>
      <c r="H477" s="121" t="s">
        <v>692</v>
      </c>
      <c r="I477" s="129">
        <v>34</v>
      </c>
      <c r="J477" s="109">
        <f t="shared" ref="J477:J478" si="78">I477*G477</f>
        <v>7650</v>
      </c>
      <c r="K477" s="658"/>
      <c r="L477" s="121" t="s">
        <v>630</v>
      </c>
    </row>
    <row r="478" spans="1:12">
      <c r="A478" s="668" t="s">
        <v>796</v>
      </c>
      <c r="B478" s="675"/>
      <c r="C478" s="213"/>
      <c r="D478" s="121">
        <v>3697</v>
      </c>
      <c r="E478" s="121">
        <v>8</v>
      </c>
      <c r="F478" s="121">
        <v>5</v>
      </c>
      <c r="G478" s="122">
        <f t="shared" si="77"/>
        <v>40</v>
      </c>
      <c r="H478" s="121" t="s">
        <v>924</v>
      </c>
      <c r="I478" s="129">
        <v>22</v>
      </c>
      <c r="J478" s="109">
        <f t="shared" si="78"/>
        <v>880</v>
      </c>
      <c r="K478" s="659"/>
      <c r="L478" s="121" t="s">
        <v>630</v>
      </c>
    </row>
    <row r="479" spans="1:12">
      <c r="A479" s="686"/>
      <c r="B479" s="687"/>
      <c r="C479" s="687"/>
      <c r="D479" s="687"/>
      <c r="E479" s="687"/>
      <c r="F479" s="687"/>
      <c r="G479" s="687"/>
      <c r="H479" s="687"/>
      <c r="I479" s="687"/>
      <c r="J479" s="687"/>
      <c r="K479" s="687"/>
      <c r="L479" s="687"/>
    </row>
    <row r="480" spans="1:12" ht="38.25">
      <c r="A480" s="214" t="s">
        <v>927</v>
      </c>
      <c r="B480" s="185"/>
      <c r="C480" s="217"/>
      <c r="D480" s="218"/>
      <c r="E480" s="218"/>
      <c r="F480" s="218"/>
      <c r="G480" s="219"/>
      <c r="H480" s="218"/>
      <c r="I480" s="220"/>
      <c r="J480" s="218"/>
      <c r="K480" s="110">
        <f>SUM(K481+K484+K495+K498)</f>
        <v>37983.5</v>
      </c>
      <c r="L480" s="218"/>
    </row>
    <row r="481" spans="1:12">
      <c r="A481" s="714" t="s">
        <v>915</v>
      </c>
      <c r="B481" s="715"/>
      <c r="C481" s="124"/>
      <c r="D481" s="114"/>
      <c r="E481" s="114"/>
      <c r="F481" s="114"/>
      <c r="G481" s="115"/>
      <c r="H481" s="114"/>
      <c r="I481" s="125"/>
      <c r="J481" s="114"/>
      <c r="K481" s="117">
        <f>SUM(J482:J483)</f>
        <v>8436</v>
      </c>
      <c r="L481" s="114"/>
    </row>
    <row r="482" spans="1:12" ht="120">
      <c r="A482" s="164" t="s">
        <v>916</v>
      </c>
      <c r="B482" s="165"/>
      <c r="C482" s="141" t="s">
        <v>917</v>
      </c>
      <c r="D482" s="121">
        <v>22721</v>
      </c>
      <c r="E482" s="121">
        <v>1</v>
      </c>
      <c r="F482" s="121">
        <v>6</v>
      </c>
      <c r="G482" s="122">
        <f>F482*E482</f>
        <v>6</v>
      </c>
      <c r="H482" s="121" t="s">
        <v>639</v>
      </c>
      <c r="I482" s="129">
        <v>1006</v>
      </c>
      <c r="J482" s="109">
        <f t="shared" ref="J482:J494" si="79">I482*G482</f>
        <v>6036</v>
      </c>
      <c r="K482" s="670"/>
      <c r="L482" s="121" t="s">
        <v>630</v>
      </c>
    </row>
    <row r="483" spans="1:12" ht="105">
      <c r="A483" s="164" t="s">
        <v>904</v>
      </c>
      <c r="B483" s="165"/>
      <c r="C483" s="141" t="s">
        <v>648</v>
      </c>
      <c r="D483" s="121">
        <v>22721</v>
      </c>
      <c r="E483" s="121">
        <v>1</v>
      </c>
      <c r="F483" s="121">
        <v>4</v>
      </c>
      <c r="G483" s="122">
        <f>F483*E483</f>
        <v>4</v>
      </c>
      <c r="H483" s="121" t="s">
        <v>639</v>
      </c>
      <c r="I483" s="129">
        <v>600</v>
      </c>
      <c r="J483" s="109">
        <f t="shared" si="79"/>
        <v>2400</v>
      </c>
      <c r="K483" s="672"/>
      <c r="L483" s="121" t="s">
        <v>630</v>
      </c>
    </row>
    <row r="484" spans="1:12">
      <c r="A484" s="714" t="s">
        <v>918</v>
      </c>
      <c r="B484" s="715"/>
      <c r="C484" s="124"/>
      <c r="D484" s="114"/>
      <c r="E484" s="114"/>
      <c r="F484" s="114"/>
      <c r="G484" s="115"/>
      <c r="H484" s="114"/>
      <c r="I484" s="125"/>
      <c r="J484" s="114"/>
      <c r="K484" s="117">
        <f>SUM(J485:J494)</f>
        <v>19017.5</v>
      </c>
      <c r="L484" s="114"/>
    </row>
    <row r="485" spans="1:12" ht="30">
      <c r="A485" s="164" t="s">
        <v>919</v>
      </c>
      <c r="B485" s="165"/>
      <c r="C485" s="141" t="s">
        <v>920</v>
      </c>
      <c r="D485" s="121">
        <v>22888</v>
      </c>
      <c r="E485" s="121">
        <v>1</v>
      </c>
      <c r="F485" s="121">
        <v>5</v>
      </c>
      <c r="G485" s="122">
        <f t="shared" ref="G485:G492" si="80">F485*E485</f>
        <v>5</v>
      </c>
      <c r="H485" s="121" t="s">
        <v>639</v>
      </c>
      <c r="I485" s="129">
        <v>225</v>
      </c>
      <c r="J485" s="109">
        <f t="shared" si="79"/>
        <v>1125</v>
      </c>
      <c r="K485" s="658"/>
      <c r="L485" s="121" t="s">
        <v>630</v>
      </c>
    </row>
    <row r="486" spans="1:12" ht="45">
      <c r="A486" s="164" t="s">
        <v>768</v>
      </c>
      <c r="B486" s="165"/>
      <c r="C486" s="128"/>
      <c r="D486" s="121">
        <v>22888</v>
      </c>
      <c r="E486" s="121">
        <v>45</v>
      </c>
      <c r="F486" s="121">
        <v>5</v>
      </c>
      <c r="G486" s="122">
        <f t="shared" si="80"/>
        <v>225</v>
      </c>
      <c r="H486" s="121" t="s">
        <v>639</v>
      </c>
      <c r="I486" s="129">
        <v>17.5</v>
      </c>
      <c r="J486" s="109">
        <f t="shared" si="79"/>
        <v>3937.5</v>
      </c>
      <c r="K486" s="663"/>
      <c r="L486" s="121" t="s">
        <v>630</v>
      </c>
    </row>
    <row r="487" spans="1:12" ht="90">
      <c r="A487" s="118" t="s">
        <v>756</v>
      </c>
      <c r="B487" s="165"/>
      <c r="C487" s="141" t="s">
        <v>921</v>
      </c>
      <c r="D487" s="121">
        <v>22888</v>
      </c>
      <c r="E487" s="121">
        <v>15</v>
      </c>
      <c r="F487" s="121">
        <v>5</v>
      </c>
      <c r="G487" s="122">
        <f t="shared" si="80"/>
        <v>75</v>
      </c>
      <c r="H487" s="121" t="s">
        <v>639</v>
      </c>
      <c r="I487" s="129">
        <v>35</v>
      </c>
      <c r="J487" s="109">
        <f t="shared" si="79"/>
        <v>2625</v>
      </c>
      <c r="K487" s="663"/>
      <c r="L487" s="121" t="s">
        <v>630</v>
      </c>
    </row>
    <row r="488" spans="1:12">
      <c r="A488" s="164" t="s">
        <v>771</v>
      </c>
      <c r="B488" s="165"/>
      <c r="C488" s="128" t="s">
        <v>922</v>
      </c>
      <c r="D488" s="121">
        <v>22888</v>
      </c>
      <c r="E488" s="121">
        <v>1</v>
      </c>
      <c r="F488" s="121">
        <v>5</v>
      </c>
      <c r="G488" s="122">
        <f t="shared" si="80"/>
        <v>5</v>
      </c>
      <c r="H488" s="121" t="s">
        <v>639</v>
      </c>
      <c r="I488" s="129">
        <v>90</v>
      </c>
      <c r="J488" s="109">
        <f t="shared" si="79"/>
        <v>450</v>
      </c>
      <c r="K488" s="663"/>
      <c r="L488" s="121" t="s">
        <v>630</v>
      </c>
    </row>
    <row r="489" spans="1:12" ht="90">
      <c r="A489" s="164" t="s">
        <v>905</v>
      </c>
      <c r="B489" s="165"/>
      <c r="C489" s="141" t="s">
        <v>767</v>
      </c>
      <c r="D489" s="121">
        <v>12556</v>
      </c>
      <c r="E489" s="121">
        <v>1</v>
      </c>
      <c r="F489" s="121">
        <v>5</v>
      </c>
      <c r="G489" s="122">
        <f t="shared" si="80"/>
        <v>5</v>
      </c>
      <c r="H489" s="121" t="s">
        <v>639</v>
      </c>
      <c r="I489" s="129">
        <v>268</v>
      </c>
      <c r="J489" s="109">
        <f t="shared" si="79"/>
        <v>1340</v>
      </c>
      <c r="K489" s="663"/>
      <c r="L489" s="121" t="s">
        <v>630</v>
      </c>
    </row>
    <row r="490" spans="1:12" ht="30">
      <c r="A490" s="164" t="s">
        <v>923</v>
      </c>
      <c r="B490" s="165"/>
      <c r="C490" s="128"/>
      <c r="D490" s="121">
        <v>12556</v>
      </c>
      <c r="E490" s="121">
        <v>1</v>
      </c>
      <c r="F490" s="121">
        <v>5</v>
      </c>
      <c r="G490" s="122">
        <f t="shared" si="80"/>
        <v>5</v>
      </c>
      <c r="H490" s="121" t="s">
        <v>639</v>
      </c>
      <c r="I490" s="129">
        <v>150</v>
      </c>
      <c r="J490" s="109">
        <f t="shared" si="79"/>
        <v>750</v>
      </c>
      <c r="K490" s="663"/>
      <c r="L490" s="121" t="s">
        <v>630</v>
      </c>
    </row>
    <row r="491" spans="1:12">
      <c r="A491" s="164" t="s">
        <v>907</v>
      </c>
      <c r="B491" s="165"/>
      <c r="C491" s="128"/>
      <c r="D491" s="121">
        <v>12556</v>
      </c>
      <c r="E491" s="121">
        <v>1</v>
      </c>
      <c r="F491" s="121">
        <v>5</v>
      </c>
      <c r="G491" s="122">
        <f t="shared" si="80"/>
        <v>5</v>
      </c>
      <c r="H491" s="121" t="s">
        <v>639</v>
      </c>
      <c r="I491" s="129">
        <v>160</v>
      </c>
      <c r="J491" s="109">
        <f t="shared" si="79"/>
        <v>800</v>
      </c>
      <c r="K491" s="663"/>
      <c r="L491" s="121" t="s">
        <v>630</v>
      </c>
    </row>
    <row r="492" spans="1:12" ht="75">
      <c r="A492" s="164" t="s">
        <v>908</v>
      </c>
      <c r="B492" s="165"/>
      <c r="C492" s="141" t="s">
        <v>746</v>
      </c>
      <c r="D492" s="121">
        <v>12556</v>
      </c>
      <c r="E492" s="121">
        <v>4</v>
      </c>
      <c r="F492" s="121">
        <v>5</v>
      </c>
      <c r="G492" s="122">
        <f t="shared" si="80"/>
        <v>20</v>
      </c>
      <c r="H492" s="121" t="s">
        <v>639</v>
      </c>
      <c r="I492" s="129">
        <v>62</v>
      </c>
      <c r="J492" s="109">
        <f t="shared" si="79"/>
        <v>1240</v>
      </c>
      <c r="K492" s="663"/>
      <c r="L492" s="121" t="s">
        <v>630</v>
      </c>
    </row>
    <row r="493" spans="1:12" ht="60">
      <c r="A493" s="164" t="s">
        <v>669</v>
      </c>
      <c r="B493" s="165"/>
      <c r="C493" s="141" t="s">
        <v>912</v>
      </c>
      <c r="D493" s="121">
        <v>12556</v>
      </c>
      <c r="E493" s="121">
        <v>1</v>
      </c>
      <c r="F493" s="121">
        <v>5</v>
      </c>
      <c r="G493" s="122">
        <f t="shared" ref="G493:G494" si="81">E493*F493</f>
        <v>5</v>
      </c>
      <c r="H493" s="121" t="s">
        <v>639</v>
      </c>
      <c r="I493" s="129">
        <v>150</v>
      </c>
      <c r="J493" s="109">
        <f t="shared" si="79"/>
        <v>750</v>
      </c>
      <c r="K493" s="663"/>
      <c r="L493" s="121" t="s">
        <v>630</v>
      </c>
    </row>
    <row r="494" spans="1:12" ht="270">
      <c r="A494" s="164" t="s">
        <v>847</v>
      </c>
      <c r="B494" s="165"/>
      <c r="C494" s="141" t="s">
        <v>848</v>
      </c>
      <c r="D494" s="121">
        <v>12556</v>
      </c>
      <c r="E494" s="121">
        <v>1</v>
      </c>
      <c r="F494" s="121">
        <v>5</v>
      </c>
      <c r="G494" s="122">
        <f t="shared" si="81"/>
        <v>5</v>
      </c>
      <c r="H494" s="121" t="s">
        <v>639</v>
      </c>
      <c r="I494" s="129">
        <v>1200</v>
      </c>
      <c r="J494" s="109">
        <f t="shared" si="79"/>
        <v>6000</v>
      </c>
      <c r="K494" s="659"/>
      <c r="L494" s="121" t="s">
        <v>630</v>
      </c>
    </row>
    <row r="495" spans="1:12">
      <c r="A495" s="717" t="s">
        <v>681</v>
      </c>
      <c r="B495" s="718"/>
      <c r="C495" s="113"/>
      <c r="D495" s="114"/>
      <c r="E495" s="211"/>
      <c r="F495" s="114"/>
      <c r="G495" s="115"/>
      <c r="H495" s="114"/>
      <c r="I495" s="125"/>
      <c r="J495" s="157"/>
      <c r="K495" s="117">
        <f>SUM(J496:J497)</f>
        <v>2000</v>
      </c>
      <c r="L495" s="114"/>
    </row>
    <row r="496" spans="1:12" ht="30">
      <c r="A496" s="164" t="s">
        <v>682</v>
      </c>
      <c r="B496" s="165"/>
      <c r="C496" s="141"/>
      <c r="D496" s="121">
        <v>14591</v>
      </c>
      <c r="E496" s="146">
        <v>1</v>
      </c>
      <c r="F496" s="121">
        <v>5</v>
      </c>
      <c r="G496" s="122">
        <f>E496*F496</f>
        <v>5</v>
      </c>
      <c r="H496" s="121" t="s">
        <v>639</v>
      </c>
      <c r="I496" s="129">
        <v>220</v>
      </c>
      <c r="J496" s="109">
        <f t="shared" ref="J496:J497" si="82">I496*G496</f>
        <v>1100</v>
      </c>
      <c r="K496" s="658"/>
      <c r="L496" s="121" t="s">
        <v>630</v>
      </c>
    </row>
    <row r="497" spans="1:12" ht="45">
      <c r="A497" s="164" t="s">
        <v>683</v>
      </c>
      <c r="B497" s="165"/>
      <c r="C497" s="141"/>
      <c r="D497" s="121">
        <v>25631</v>
      </c>
      <c r="E497" s="146">
        <v>1</v>
      </c>
      <c r="F497" s="121">
        <v>5</v>
      </c>
      <c r="G497" s="122">
        <f>E497*F497</f>
        <v>5</v>
      </c>
      <c r="H497" s="121" t="s">
        <v>639</v>
      </c>
      <c r="I497" s="129">
        <v>180</v>
      </c>
      <c r="J497" s="109">
        <f t="shared" si="82"/>
        <v>900</v>
      </c>
      <c r="K497" s="659"/>
      <c r="L497" s="121" t="s">
        <v>630</v>
      </c>
    </row>
    <row r="498" spans="1:12">
      <c r="A498" s="712" t="s">
        <v>685</v>
      </c>
      <c r="B498" s="713"/>
      <c r="C498" s="124"/>
      <c r="D498" s="114"/>
      <c r="E498" s="114"/>
      <c r="F498" s="114"/>
      <c r="G498" s="115"/>
      <c r="H498" s="114"/>
      <c r="I498" s="125"/>
      <c r="J498" s="157"/>
      <c r="K498" s="117">
        <f>SUM(J499:J500)</f>
        <v>8530</v>
      </c>
      <c r="L498" s="114"/>
    </row>
    <row r="499" spans="1:12">
      <c r="A499" s="668" t="s">
        <v>910</v>
      </c>
      <c r="B499" s="696"/>
      <c r="C499" s="90"/>
      <c r="D499" s="121">
        <v>3697</v>
      </c>
      <c r="E499" s="121">
        <v>45</v>
      </c>
      <c r="F499" s="121">
        <v>5</v>
      </c>
      <c r="G499" s="122">
        <f t="shared" ref="G499:G500" si="83">E499*F499</f>
        <v>225</v>
      </c>
      <c r="H499" s="121" t="s">
        <v>692</v>
      </c>
      <c r="I499" s="129">
        <v>34</v>
      </c>
      <c r="J499" s="109">
        <f t="shared" ref="J499:J500" si="84">I499*G499</f>
        <v>7650</v>
      </c>
      <c r="K499" s="658"/>
      <c r="L499" s="121" t="s">
        <v>630</v>
      </c>
    </row>
    <row r="500" spans="1:12">
      <c r="A500" s="668" t="s">
        <v>796</v>
      </c>
      <c r="B500" s="675"/>
      <c r="C500" s="213"/>
      <c r="D500" s="121">
        <v>3697</v>
      </c>
      <c r="E500" s="121">
        <v>8</v>
      </c>
      <c r="F500" s="121">
        <v>5</v>
      </c>
      <c r="G500" s="122">
        <f t="shared" si="83"/>
        <v>40</v>
      </c>
      <c r="H500" s="121" t="s">
        <v>924</v>
      </c>
      <c r="I500" s="129">
        <v>22</v>
      </c>
      <c r="J500" s="109">
        <f t="shared" si="84"/>
        <v>880</v>
      </c>
      <c r="K500" s="659"/>
      <c r="L500" s="121" t="s">
        <v>630</v>
      </c>
    </row>
    <row r="501" spans="1:12">
      <c r="A501" s="686"/>
      <c r="B501" s="687"/>
      <c r="C501" s="687"/>
      <c r="D501" s="687"/>
      <c r="E501" s="687"/>
      <c r="F501" s="687"/>
      <c r="G501" s="687"/>
      <c r="H501" s="687"/>
      <c r="I501" s="687"/>
      <c r="J501" s="687"/>
      <c r="K501" s="687"/>
      <c r="L501" s="687"/>
    </row>
    <row r="502" spans="1:12" ht="15.75">
      <c r="A502" s="721" t="s">
        <v>599</v>
      </c>
      <c r="B502" s="722"/>
      <c r="C502" s="221"/>
      <c r="D502" s="222"/>
      <c r="E502" s="222"/>
      <c r="F502" s="121"/>
      <c r="G502" s="122"/>
      <c r="H502" s="222"/>
      <c r="I502" s="129"/>
      <c r="J502" s="222"/>
      <c r="K502" s="223">
        <f>SUM(J503:J507)</f>
        <v>100000</v>
      </c>
      <c r="L502" s="222"/>
    </row>
    <row r="503" spans="1:12" ht="15.75">
      <c r="A503" s="719" t="s">
        <v>720</v>
      </c>
      <c r="B503" s="720"/>
      <c r="C503" s="221"/>
      <c r="D503" s="222" t="s">
        <v>334</v>
      </c>
      <c r="E503" s="222">
        <v>1</v>
      </c>
      <c r="F503" s="121">
        <v>1</v>
      </c>
      <c r="G503" s="122">
        <v>1</v>
      </c>
      <c r="H503" s="222" t="s">
        <v>639</v>
      </c>
      <c r="I503" s="129">
        <v>10000</v>
      </c>
      <c r="J503" s="109">
        <f t="shared" ref="J503:J507" si="85">I503*G503</f>
        <v>10000</v>
      </c>
      <c r="K503" s="223"/>
      <c r="L503" s="121" t="s">
        <v>630</v>
      </c>
    </row>
    <row r="504" spans="1:12" ht="15.75">
      <c r="A504" s="719" t="s">
        <v>918</v>
      </c>
      <c r="B504" s="720"/>
      <c r="C504" s="221"/>
      <c r="D504" s="222" t="s">
        <v>334</v>
      </c>
      <c r="E504" s="222">
        <v>1</v>
      </c>
      <c r="F504" s="121">
        <v>1</v>
      </c>
      <c r="G504" s="122">
        <v>1</v>
      </c>
      <c r="H504" s="222" t="s">
        <v>639</v>
      </c>
      <c r="I504" s="129">
        <v>30000</v>
      </c>
      <c r="J504" s="109">
        <f t="shared" si="85"/>
        <v>30000</v>
      </c>
      <c r="K504" s="223"/>
      <c r="L504" s="121" t="s">
        <v>630</v>
      </c>
    </row>
    <row r="505" spans="1:12" ht="15.75">
      <c r="A505" s="719" t="s">
        <v>681</v>
      </c>
      <c r="B505" s="720"/>
      <c r="C505" s="221"/>
      <c r="D505" s="222" t="s">
        <v>334</v>
      </c>
      <c r="E505" s="222">
        <v>1</v>
      </c>
      <c r="F505" s="121">
        <v>1</v>
      </c>
      <c r="G505" s="122">
        <v>1</v>
      </c>
      <c r="H505" s="222" t="s">
        <v>639</v>
      </c>
      <c r="I505" s="129">
        <v>10000</v>
      </c>
      <c r="J505" s="109">
        <f t="shared" si="85"/>
        <v>10000</v>
      </c>
      <c r="K505" s="223"/>
      <c r="L505" s="121" t="s">
        <v>630</v>
      </c>
    </row>
    <row r="506" spans="1:12" ht="15.75">
      <c r="A506" s="719" t="s">
        <v>685</v>
      </c>
      <c r="B506" s="720"/>
      <c r="C506" s="221"/>
      <c r="D506" s="222" t="s">
        <v>334</v>
      </c>
      <c r="E506" s="222">
        <v>1</v>
      </c>
      <c r="F506" s="121">
        <v>1</v>
      </c>
      <c r="G506" s="122">
        <v>1</v>
      </c>
      <c r="H506" s="222" t="s">
        <v>639</v>
      </c>
      <c r="I506" s="129">
        <v>20000</v>
      </c>
      <c r="J506" s="109">
        <f t="shared" si="85"/>
        <v>20000</v>
      </c>
      <c r="K506" s="223"/>
      <c r="L506" s="121" t="s">
        <v>630</v>
      </c>
    </row>
    <row r="507" spans="1:12" ht="15.75">
      <c r="A507" s="719" t="s">
        <v>701</v>
      </c>
      <c r="B507" s="720"/>
      <c r="C507" s="128"/>
      <c r="D507" s="121" t="s">
        <v>334</v>
      </c>
      <c r="E507" s="121">
        <v>1</v>
      </c>
      <c r="F507" s="121">
        <v>1</v>
      </c>
      <c r="G507" s="122">
        <v>1</v>
      </c>
      <c r="H507" s="222" t="s">
        <v>639</v>
      </c>
      <c r="I507" s="129">
        <v>30000</v>
      </c>
      <c r="J507" s="109">
        <f t="shared" si="85"/>
        <v>30000</v>
      </c>
      <c r="K507" s="223"/>
      <c r="L507" s="121" t="s">
        <v>630</v>
      </c>
    </row>
    <row r="508" spans="1:12">
      <c r="A508" s="686"/>
      <c r="B508" s="687"/>
      <c r="C508" s="687"/>
      <c r="D508" s="687"/>
      <c r="E508" s="687"/>
      <c r="F508" s="687"/>
      <c r="G508" s="687"/>
      <c r="H508" s="687"/>
      <c r="I508" s="687"/>
      <c r="J508" s="687"/>
      <c r="K508" s="687"/>
      <c r="L508" s="687"/>
    </row>
    <row r="509" spans="1:12" ht="15.75">
      <c r="A509" s="731" t="s">
        <v>601</v>
      </c>
      <c r="B509" s="732"/>
      <c r="C509" s="128"/>
      <c r="D509" s="121"/>
      <c r="E509" s="121"/>
      <c r="F509" s="121"/>
      <c r="G509" s="122"/>
      <c r="H509" s="121"/>
      <c r="I509" s="129"/>
      <c r="J509" s="109"/>
      <c r="K509" s="224">
        <f>K510+K520</f>
        <v>72620</v>
      </c>
      <c r="L509" s="121"/>
    </row>
    <row r="510" spans="1:12" ht="21">
      <c r="A510" s="225" t="s">
        <v>602</v>
      </c>
      <c r="B510" s="226"/>
      <c r="C510" s="128"/>
      <c r="D510" s="121"/>
      <c r="E510" s="121"/>
      <c r="F510" s="121"/>
      <c r="G510" s="122"/>
      <c r="H510" s="121"/>
      <c r="I510" s="129"/>
      <c r="J510" s="109"/>
      <c r="K510" s="227">
        <f>J511+J513+J517</f>
        <v>64620</v>
      </c>
      <c r="L510" s="121"/>
    </row>
    <row r="511" spans="1:12">
      <c r="A511" s="712" t="s">
        <v>928</v>
      </c>
      <c r="B511" s="713"/>
      <c r="C511" s="124"/>
      <c r="D511" s="114"/>
      <c r="E511" s="114"/>
      <c r="F511" s="114"/>
      <c r="G511" s="115"/>
      <c r="H511" s="114"/>
      <c r="I511" s="125"/>
      <c r="J511" s="157">
        <f>J512</f>
        <v>4800</v>
      </c>
      <c r="K511" s="228"/>
      <c r="L511" s="114"/>
    </row>
    <row r="512" spans="1:12" ht="120">
      <c r="A512" s="118" t="s">
        <v>797</v>
      </c>
      <c r="B512" s="119"/>
      <c r="C512" s="141" t="s">
        <v>929</v>
      </c>
      <c r="D512" s="121">
        <v>22721</v>
      </c>
      <c r="E512" s="121">
        <v>1</v>
      </c>
      <c r="F512" s="121">
        <v>4</v>
      </c>
      <c r="G512" s="122">
        <f>E512*F512</f>
        <v>4</v>
      </c>
      <c r="H512" s="121" t="s">
        <v>639</v>
      </c>
      <c r="I512" s="129">
        <v>1200</v>
      </c>
      <c r="J512" s="109">
        <f t="shared" ref="J512" si="86">I512*G512</f>
        <v>4800</v>
      </c>
      <c r="K512" s="227"/>
      <c r="L512" s="121" t="s">
        <v>630</v>
      </c>
    </row>
    <row r="513" spans="1:12">
      <c r="A513" s="712" t="s">
        <v>918</v>
      </c>
      <c r="B513" s="713"/>
      <c r="C513" s="124"/>
      <c r="D513" s="114"/>
      <c r="E513" s="114"/>
      <c r="F513" s="114"/>
      <c r="G513" s="115"/>
      <c r="H513" s="114"/>
      <c r="I513" s="125"/>
      <c r="J513" s="157">
        <f>SUM(J514:J516)</f>
        <v>35820</v>
      </c>
      <c r="K513" s="228"/>
      <c r="L513" s="114"/>
    </row>
    <row r="514" spans="1:12" ht="45">
      <c r="A514" s="164" t="s">
        <v>768</v>
      </c>
      <c r="B514" s="165"/>
      <c r="C514" s="128"/>
      <c r="D514" s="121">
        <v>22888</v>
      </c>
      <c r="E514" s="121">
        <v>50</v>
      </c>
      <c r="F514" s="121">
        <v>6</v>
      </c>
      <c r="G514" s="122">
        <f t="shared" ref="G514" si="87">F514*E514</f>
        <v>300</v>
      </c>
      <c r="H514" s="121" t="s">
        <v>639</v>
      </c>
      <c r="I514" s="129">
        <v>17.5</v>
      </c>
      <c r="J514" s="109">
        <f t="shared" ref="J514:J516" si="88">I514*G514</f>
        <v>5250</v>
      </c>
      <c r="K514" s="227"/>
      <c r="L514" s="121" t="s">
        <v>630</v>
      </c>
    </row>
    <row r="515" spans="1:12" ht="90">
      <c r="A515" s="118" t="s">
        <v>756</v>
      </c>
      <c r="B515" s="165"/>
      <c r="C515" s="141" t="s">
        <v>930</v>
      </c>
      <c r="D515" s="121">
        <v>22888</v>
      </c>
      <c r="E515" s="121">
        <v>17</v>
      </c>
      <c r="F515" s="121">
        <v>6</v>
      </c>
      <c r="G515" s="122">
        <f>E515*F515</f>
        <v>102</v>
      </c>
      <c r="H515" s="121" t="s">
        <v>639</v>
      </c>
      <c r="I515" s="129">
        <v>35</v>
      </c>
      <c r="J515" s="109">
        <f t="shared" si="88"/>
        <v>3570</v>
      </c>
      <c r="K515" s="227"/>
      <c r="L515" s="121" t="s">
        <v>630</v>
      </c>
    </row>
    <row r="516" spans="1:12" ht="60">
      <c r="A516" s="164" t="s">
        <v>669</v>
      </c>
      <c r="B516" s="165"/>
      <c r="C516" s="141" t="s">
        <v>912</v>
      </c>
      <c r="D516" s="121">
        <v>12556</v>
      </c>
      <c r="E516" s="121">
        <v>30</v>
      </c>
      <c r="F516" s="121">
        <v>6</v>
      </c>
      <c r="G516" s="122">
        <f t="shared" ref="G516:G518" si="89">E516*F516</f>
        <v>180</v>
      </c>
      <c r="H516" s="121" t="s">
        <v>639</v>
      </c>
      <c r="I516" s="129">
        <v>150</v>
      </c>
      <c r="J516" s="109">
        <f t="shared" si="88"/>
        <v>27000</v>
      </c>
      <c r="K516" s="227"/>
      <c r="L516" s="121" t="s">
        <v>630</v>
      </c>
    </row>
    <row r="517" spans="1:12">
      <c r="A517" s="712" t="s">
        <v>931</v>
      </c>
      <c r="B517" s="713"/>
      <c r="C517" s="124"/>
      <c r="D517" s="114"/>
      <c r="E517" s="114"/>
      <c r="F517" s="114"/>
      <c r="G517" s="115">
        <f t="shared" si="89"/>
        <v>0</v>
      </c>
      <c r="H517" s="114"/>
      <c r="I517" s="125"/>
      <c r="J517" s="157">
        <f>J518</f>
        <v>24000</v>
      </c>
      <c r="K517" s="228"/>
      <c r="L517" s="114"/>
    </row>
    <row r="518" spans="1:12" ht="30">
      <c r="A518" s="164" t="s">
        <v>932</v>
      </c>
      <c r="B518" s="229"/>
      <c r="C518" s="128"/>
      <c r="D518" s="121"/>
      <c r="E518" s="121">
        <v>1</v>
      </c>
      <c r="F518" s="121">
        <v>3</v>
      </c>
      <c r="G518" s="122">
        <f t="shared" si="89"/>
        <v>3</v>
      </c>
      <c r="H518" s="121" t="s">
        <v>639</v>
      </c>
      <c r="I518" s="129">
        <v>8000</v>
      </c>
      <c r="J518" s="109">
        <f>I518*G518</f>
        <v>24000</v>
      </c>
      <c r="K518" s="227"/>
      <c r="L518" s="121"/>
    </row>
    <row r="519" spans="1:12">
      <c r="A519" s="686"/>
      <c r="B519" s="687"/>
      <c r="C519" s="687"/>
      <c r="D519" s="687"/>
      <c r="E519" s="687"/>
      <c r="F519" s="687"/>
      <c r="G519" s="687"/>
      <c r="H519" s="687"/>
      <c r="I519" s="687"/>
      <c r="J519" s="687"/>
      <c r="K519" s="687"/>
      <c r="L519" s="687"/>
    </row>
    <row r="520" spans="1:12" ht="42">
      <c r="A520" s="225" t="s">
        <v>603</v>
      </c>
      <c r="B520" s="226"/>
      <c r="C520" s="128"/>
      <c r="D520" s="121"/>
      <c r="E520" s="121"/>
      <c r="F520" s="121"/>
      <c r="G520" s="122"/>
      <c r="H520" s="121"/>
      <c r="I520" s="129"/>
      <c r="J520" s="109"/>
      <c r="K520" s="230">
        <f>K521</f>
        <v>8000</v>
      </c>
      <c r="L520" s="121"/>
    </row>
    <row r="521" spans="1:12">
      <c r="A521" s="712" t="s">
        <v>720</v>
      </c>
      <c r="B521" s="713"/>
      <c r="C521" s="124"/>
      <c r="D521" s="114"/>
      <c r="E521" s="114"/>
      <c r="F521" s="114"/>
      <c r="G521" s="115"/>
      <c r="H521" s="114"/>
      <c r="I521" s="125"/>
      <c r="J521" s="157"/>
      <c r="K521" s="117">
        <f>SUM(J522:J523)</f>
        <v>8000</v>
      </c>
      <c r="L521" s="114"/>
    </row>
    <row r="522" spans="1:12" ht="195">
      <c r="A522" s="702" t="s">
        <v>721</v>
      </c>
      <c r="B522" s="669"/>
      <c r="C522" s="141" t="s">
        <v>812</v>
      </c>
      <c r="D522" s="121">
        <v>25089</v>
      </c>
      <c r="E522" s="121">
        <v>1</v>
      </c>
      <c r="F522" s="121">
        <v>4</v>
      </c>
      <c r="G522" s="121">
        <f>E522*F522</f>
        <v>4</v>
      </c>
      <c r="H522" s="121" t="s">
        <v>639</v>
      </c>
      <c r="I522" s="129">
        <v>2000</v>
      </c>
      <c r="J522" s="109">
        <f>I522*G522</f>
        <v>8000</v>
      </c>
      <c r="K522" s="231"/>
      <c r="L522" s="121" t="s">
        <v>630</v>
      </c>
    </row>
    <row r="523" spans="1:12">
      <c r="A523" s="686"/>
      <c r="B523" s="687"/>
      <c r="C523" s="687"/>
      <c r="D523" s="687"/>
      <c r="E523" s="687"/>
      <c r="F523" s="687"/>
      <c r="G523" s="687"/>
      <c r="H523" s="687"/>
      <c r="I523" s="687"/>
      <c r="J523" s="687"/>
      <c r="K523" s="687"/>
      <c r="L523" s="687"/>
    </row>
    <row r="524" spans="1:12" ht="15.75">
      <c r="A524" s="723" t="s">
        <v>604</v>
      </c>
      <c r="B524" s="724"/>
      <c r="C524" s="221"/>
      <c r="D524" s="222"/>
      <c r="E524" s="222"/>
      <c r="F524" s="121"/>
      <c r="G524" s="122"/>
      <c r="H524" s="222"/>
      <c r="I524" s="129">
        <v>0</v>
      </c>
      <c r="J524" s="222"/>
      <c r="K524" s="232">
        <f>SUM(J525:J527)</f>
        <v>290000</v>
      </c>
      <c r="L524" s="222"/>
    </row>
    <row r="525" spans="1:12">
      <c r="A525" s="725" t="s">
        <v>605</v>
      </c>
      <c r="B525" s="726"/>
      <c r="C525" s="221"/>
      <c r="D525" s="121"/>
      <c r="E525" s="222">
        <v>1</v>
      </c>
      <c r="F525" s="121">
        <v>1</v>
      </c>
      <c r="G525" s="122">
        <f>E525*F525</f>
        <v>1</v>
      </c>
      <c r="H525" s="222"/>
      <c r="I525" s="129">
        <v>30000</v>
      </c>
      <c r="J525" s="233">
        <f>I525*G525</f>
        <v>30000</v>
      </c>
      <c r="K525" s="727"/>
      <c r="L525" s="121" t="s">
        <v>630</v>
      </c>
    </row>
    <row r="526" spans="1:12">
      <c r="A526" s="729" t="s">
        <v>606</v>
      </c>
      <c r="B526" s="730"/>
      <c r="C526" s="234"/>
      <c r="D526" s="235"/>
      <c r="E526" s="235">
        <v>1</v>
      </c>
      <c r="F526" s="146">
        <v>1</v>
      </c>
      <c r="G526" s="147">
        <v>1</v>
      </c>
      <c r="H526" s="235"/>
      <c r="I526" s="148">
        <v>260000</v>
      </c>
      <c r="J526" s="233">
        <f>I526*G526</f>
        <v>260000</v>
      </c>
      <c r="K526" s="728"/>
      <c r="L526" s="121" t="s">
        <v>630</v>
      </c>
    </row>
  </sheetData>
  <sheetProtection algorithmName="SHA-512" hashValue="alUFR4dpTGMClYO7aloCcsZT+OvwkOhY3FLcSsq0e5Q+emIpYctiVSydA78tME2XNbNsO1Ww/bSTm4nRvrjitA==" saltValue="rhnUOv7rGVOvFWk7jGWnxw==" spinCount="100000" sheet="1" objects="1" scenarios="1"/>
  <mergeCells count="272">
    <mergeCell ref="A522:B522"/>
    <mergeCell ref="A523:L523"/>
    <mergeCell ref="A524:B524"/>
    <mergeCell ref="A525:B525"/>
    <mergeCell ref="K525:K526"/>
    <mergeCell ref="A526:B526"/>
    <mergeCell ref="A509:B509"/>
    <mergeCell ref="A511:B511"/>
    <mergeCell ref="A513:B513"/>
    <mergeCell ref="A517:B517"/>
    <mergeCell ref="A519:L519"/>
    <mergeCell ref="A521:B521"/>
    <mergeCell ref="A503:B503"/>
    <mergeCell ref="A504:B504"/>
    <mergeCell ref="A505:B505"/>
    <mergeCell ref="A506:B506"/>
    <mergeCell ref="A507:B507"/>
    <mergeCell ref="A508:L508"/>
    <mergeCell ref="A498:B498"/>
    <mergeCell ref="A499:B499"/>
    <mergeCell ref="K499:K500"/>
    <mergeCell ref="A500:B500"/>
    <mergeCell ref="A501:L501"/>
    <mergeCell ref="A502:B502"/>
    <mergeCell ref="A481:B481"/>
    <mergeCell ref="K482:K483"/>
    <mergeCell ref="A484:B484"/>
    <mergeCell ref="K485:K494"/>
    <mergeCell ref="A495:B495"/>
    <mergeCell ref="K496:K497"/>
    <mergeCell ref="K474:K475"/>
    <mergeCell ref="A476:B476"/>
    <mergeCell ref="A477:B477"/>
    <mergeCell ref="K477:K478"/>
    <mergeCell ref="A478:B478"/>
    <mergeCell ref="A479:L479"/>
    <mergeCell ref="A457:L457"/>
    <mergeCell ref="A459:B459"/>
    <mergeCell ref="K460:K461"/>
    <mergeCell ref="A462:B462"/>
    <mergeCell ref="K463:K472"/>
    <mergeCell ref="A473:B473"/>
    <mergeCell ref="A440:B440"/>
    <mergeCell ref="K441:K450"/>
    <mergeCell ref="A451:B451"/>
    <mergeCell ref="K452:K453"/>
    <mergeCell ref="A454:B454"/>
    <mergeCell ref="A455:B455"/>
    <mergeCell ref="K455:K456"/>
    <mergeCell ref="A456:B456"/>
    <mergeCell ref="A433:B433"/>
    <mergeCell ref="K433:K434"/>
    <mergeCell ref="A434:B434"/>
    <mergeCell ref="A435:L435"/>
    <mergeCell ref="A437:B437"/>
    <mergeCell ref="K438:K439"/>
    <mergeCell ref="K416:K417"/>
    <mergeCell ref="A418:B418"/>
    <mergeCell ref="K419:K428"/>
    <mergeCell ref="A429:B429"/>
    <mergeCell ref="K430:K431"/>
    <mergeCell ref="A432:B432"/>
    <mergeCell ref="A409:B409"/>
    <mergeCell ref="A410:B410"/>
    <mergeCell ref="K410:K411"/>
    <mergeCell ref="A411:B411"/>
    <mergeCell ref="A412:L412"/>
    <mergeCell ref="A415:B415"/>
    <mergeCell ref="A397:B397"/>
    <mergeCell ref="K398:K405"/>
    <mergeCell ref="A406:B406"/>
    <mergeCell ref="A407:B407"/>
    <mergeCell ref="K407:K408"/>
    <mergeCell ref="A408:B408"/>
    <mergeCell ref="A390:B390"/>
    <mergeCell ref="A391:B391"/>
    <mergeCell ref="K391:K392"/>
    <mergeCell ref="A392:B392"/>
    <mergeCell ref="A393:L393"/>
    <mergeCell ref="A395:B395"/>
    <mergeCell ref="A376:B376"/>
    <mergeCell ref="A378:B378"/>
    <mergeCell ref="K379:K386"/>
    <mergeCell ref="A387:B387"/>
    <mergeCell ref="A388:B388"/>
    <mergeCell ref="K388:K389"/>
    <mergeCell ref="A389:B389"/>
    <mergeCell ref="A369:B369"/>
    <mergeCell ref="A370:B370"/>
    <mergeCell ref="A371:B371"/>
    <mergeCell ref="K371:K372"/>
    <mergeCell ref="A372:B372"/>
    <mergeCell ref="A373:L373"/>
    <mergeCell ref="A363:B363"/>
    <mergeCell ref="A364:B364"/>
    <mergeCell ref="A365:B365"/>
    <mergeCell ref="A366:B366"/>
    <mergeCell ref="A367:B367"/>
    <mergeCell ref="A368:B368"/>
    <mergeCell ref="K349:K350"/>
    <mergeCell ref="C352:C353"/>
    <mergeCell ref="K352:K356"/>
    <mergeCell ref="A357:B357"/>
    <mergeCell ref="A358:B358"/>
    <mergeCell ref="K358:K367"/>
    <mergeCell ref="A359:B359"/>
    <mergeCell ref="A360:B360"/>
    <mergeCell ref="A361:B361"/>
    <mergeCell ref="A362:B362"/>
    <mergeCell ref="A322:B322"/>
    <mergeCell ref="C324:C326"/>
    <mergeCell ref="K324:K326"/>
    <mergeCell ref="K328:K330"/>
    <mergeCell ref="K332:K347"/>
    <mergeCell ref="A346:B346"/>
    <mergeCell ref="A317:B317"/>
    <mergeCell ref="A318:B318"/>
    <mergeCell ref="A319:B319"/>
    <mergeCell ref="K319:K320"/>
    <mergeCell ref="A320:B320"/>
    <mergeCell ref="A321:L321"/>
    <mergeCell ref="A311:B311"/>
    <mergeCell ref="A312:B312"/>
    <mergeCell ref="A313:B313"/>
    <mergeCell ref="A314:B314"/>
    <mergeCell ref="A315:B315"/>
    <mergeCell ref="A316:B316"/>
    <mergeCell ref="K297:K298"/>
    <mergeCell ref="C300:C301"/>
    <mergeCell ref="K300:K304"/>
    <mergeCell ref="A305:B305"/>
    <mergeCell ref="A306:B306"/>
    <mergeCell ref="K306:K315"/>
    <mergeCell ref="A307:B307"/>
    <mergeCell ref="A308:B308"/>
    <mergeCell ref="A309:B309"/>
    <mergeCell ref="A310:B310"/>
    <mergeCell ref="A269:L269"/>
    <mergeCell ref="C272:C274"/>
    <mergeCell ref="K272:K274"/>
    <mergeCell ref="K276:K278"/>
    <mergeCell ref="K280:K295"/>
    <mergeCell ref="A294:B294"/>
    <mergeCell ref="A261:B261"/>
    <mergeCell ref="A262:B262"/>
    <mergeCell ref="A263:B263"/>
    <mergeCell ref="A264:B264"/>
    <mergeCell ref="K264:K268"/>
    <mergeCell ref="A265:B265"/>
    <mergeCell ref="A266:B266"/>
    <mergeCell ref="A267:B267"/>
    <mergeCell ref="A268:B268"/>
    <mergeCell ref="A252:B252"/>
    <mergeCell ref="A253:B253"/>
    <mergeCell ref="K253:K262"/>
    <mergeCell ref="A254:B254"/>
    <mergeCell ref="A255:B255"/>
    <mergeCell ref="A256:B256"/>
    <mergeCell ref="A257:B257"/>
    <mergeCell ref="A258:B258"/>
    <mergeCell ref="A259:B259"/>
    <mergeCell ref="A260:B260"/>
    <mergeCell ref="K241:K246"/>
    <mergeCell ref="A248:B248"/>
    <mergeCell ref="A249:B249"/>
    <mergeCell ref="K249:K251"/>
    <mergeCell ref="A250:B250"/>
    <mergeCell ref="K235:K239"/>
    <mergeCell ref="A236:B236"/>
    <mergeCell ref="A237:B237"/>
    <mergeCell ref="A238:B238"/>
    <mergeCell ref="A239:B239"/>
    <mergeCell ref="A240:B240"/>
    <mergeCell ref="A234:B234"/>
    <mergeCell ref="A235:B235"/>
    <mergeCell ref="A224:B224"/>
    <mergeCell ref="A225:B225"/>
    <mergeCell ref="A226:B226"/>
    <mergeCell ref="A227:B227"/>
    <mergeCell ref="A228:B228"/>
    <mergeCell ref="A229:B229"/>
    <mergeCell ref="C241:C242"/>
    <mergeCell ref="A175:B175"/>
    <mergeCell ref="B176:B191"/>
    <mergeCell ref="K176:K233"/>
    <mergeCell ref="B192:B197"/>
    <mergeCell ref="B198:B204"/>
    <mergeCell ref="B205:B207"/>
    <mergeCell ref="B208:B211"/>
    <mergeCell ref="B212:B217"/>
    <mergeCell ref="B218:B223"/>
    <mergeCell ref="A230:B230"/>
    <mergeCell ref="A231:B231"/>
    <mergeCell ref="A232:B232"/>
    <mergeCell ref="A233:B233"/>
    <mergeCell ref="A165:B165"/>
    <mergeCell ref="A166:B166"/>
    <mergeCell ref="K166:K174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59:L159"/>
    <mergeCell ref="A161:B161"/>
    <mergeCell ref="A162:B162"/>
    <mergeCell ref="C162:C164"/>
    <mergeCell ref="K162:K164"/>
    <mergeCell ref="A163:B163"/>
    <mergeCell ref="A164:B164"/>
    <mergeCell ref="K150:K152"/>
    <mergeCell ref="A151:B151"/>
    <mergeCell ref="A152:B152"/>
    <mergeCell ref="A153:B153"/>
    <mergeCell ref="A154:B154"/>
    <mergeCell ref="K154:K158"/>
    <mergeCell ref="A155:B155"/>
    <mergeCell ref="A156:B156"/>
    <mergeCell ref="A157:B157"/>
    <mergeCell ref="A158:B158"/>
    <mergeCell ref="A145:B145"/>
    <mergeCell ref="A146:B146"/>
    <mergeCell ref="A147:B147"/>
    <mergeCell ref="A148:B148"/>
    <mergeCell ref="A149:B149"/>
    <mergeCell ref="A150:B150"/>
    <mergeCell ref="K126:K130"/>
    <mergeCell ref="C132:C133"/>
    <mergeCell ref="K132:K138"/>
    <mergeCell ref="A139:B139"/>
    <mergeCell ref="A140:B140"/>
    <mergeCell ref="K140:K148"/>
    <mergeCell ref="A141:B141"/>
    <mergeCell ref="A142:B142"/>
    <mergeCell ref="A143:B143"/>
    <mergeCell ref="A144:B144"/>
    <mergeCell ref="K74:K83"/>
    <mergeCell ref="B85:B98"/>
    <mergeCell ref="K85:K124"/>
    <mergeCell ref="B99:B102"/>
    <mergeCell ref="B103:B108"/>
    <mergeCell ref="B109:B111"/>
    <mergeCell ref="B112:B115"/>
    <mergeCell ref="B118:B119"/>
    <mergeCell ref="B120:B124"/>
    <mergeCell ref="K46:K52"/>
    <mergeCell ref="A56:B56"/>
    <mergeCell ref="K56:K63"/>
    <mergeCell ref="K65:K66"/>
    <mergeCell ref="C70:C72"/>
    <mergeCell ref="K70:K72"/>
    <mergeCell ref="A38:B38"/>
    <mergeCell ref="A39:B39"/>
    <mergeCell ref="A40:B40"/>
    <mergeCell ref="A41:B41"/>
    <mergeCell ref="A42:B42"/>
    <mergeCell ref="K42:K44"/>
    <mergeCell ref="A43:B43"/>
    <mergeCell ref="A44:B44"/>
    <mergeCell ref="A1:B1"/>
    <mergeCell ref="K7:K8"/>
    <mergeCell ref="C13:C15"/>
    <mergeCell ref="K13:K15"/>
    <mergeCell ref="K17:K20"/>
    <mergeCell ref="B22:B32"/>
    <mergeCell ref="K22:K40"/>
    <mergeCell ref="B33:B34"/>
    <mergeCell ref="B35:B36"/>
    <mergeCell ref="A37:B37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PROPOSTA ORÇAMENTARIA 2020</vt:lpstr>
      <vt:lpstr>Anexo da Tabela da ASCE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Chaves de Melo Gaúna</dc:creator>
  <cp:lastModifiedBy>Daylane Lorrane Lemos Liberato</cp:lastModifiedBy>
  <cp:lastPrinted>2019-10-21T18:33:46Z</cp:lastPrinted>
  <dcterms:created xsi:type="dcterms:W3CDTF">2019-08-26T20:27:46Z</dcterms:created>
  <dcterms:modified xsi:type="dcterms:W3CDTF">2019-12-20T14:12:03Z</dcterms:modified>
</cp:coreProperties>
</file>