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88.25\Coren\FINANCEIRO\51. PRESTACAO_CONTAS\Prestação de Contas Anuais\CRONOGRAMA DE DESEMBOLSO\"/>
    </mc:Choice>
  </mc:AlternateContent>
  <bookViews>
    <workbookView xWindow="0" yWindow="0" windowWidth="13590" windowHeight="12225" tabRatio="500"/>
  </bookViews>
  <sheets>
    <sheet name="Cronog.Desembolso2021" sheetId="1" r:id="rId1"/>
    <sheet name="Cronog.Desemb.2021REFORMULAÇÃO" sheetId="9" r:id="rId2"/>
  </sheets>
  <definedNames>
    <definedName name="_xlnm.Print_Area" localSheetId="1">Cronog.Desemb.2021REFORMULAÇÃO!$B$1:$K$58</definedName>
    <definedName name="_xlnm.Print_Area" localSheetId="0">Cronog.Desembolso2021!$B$1:$K$56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9" l="1"/>
  <c r="F14" i="9" s="1"/>
  <c r="D14" i="9"/>
  <c r="E14" i="9"/>
  <c r="G14" i="9"/>
  <c r="J14" i="9" s="1"/>
  <c r="K14" i="9" s="1"/>
  <c r="H14" i="9"/>
  <c r="I14" i="9"/>
  <c r="I17" i="9" s="1"/>
  <c r="F15" i="9"/>
  <c r="J15" i="9"/>
  <c r="K15" i="9"/>
  <c r="F16" i="9"/>
  <c r="J16" i="9"/>
  <c r="K16" i="9" s="1"/>
  <c r="C17" i="9"/>
  <c r="D17" i="9"/>
  <c r="E17" i="9"/>
  <c r="F17" i="9"/>
  <c r="H17" i="9"/>
  <c r="C20" i="9"/>
  <c r="D20" i="9"/>
  <c r="E20" i="9"/>
  <c r="I20" i="9" s="1"/>
  <c r="H20" i="9"/>
  <c r="C21" i="9"/>
  <c r="D21" i="9"/>
  <c r="E21" i="9"/>
  <c r="F21" i="9" s="1"/>
  <c r="K21" i="9" s="1"/>
  <c r="G21" i="9"/>
  <c r="H21" i="9"/>
  <c r="I21" i="9"/>
  <c r="J21" i="9"/>
  <c r="C22" i="9"/>
  <c r="E22" i="9" s="1"/>
  <c r="D22" i="9"/>
  <c r="G22" i="9"/>
  <c r="J22" i="9" s="1"/>
  <c r="H22" i="9"/>
  <c r="I22" i="9"/>
  <c r="C23" i="9"/>
  <c r="F23" i="9" s="1"/>
  <c r="D23" i="9"/>
  <c r="E23" i="9"/>
  <c r="J27" i="9"/>
  <c r="K27" i="9"/>
  <c r="C28" i="9"/>
  <c r="C26" i="9" s="1"/>
  <c r="J29" i="9"/>
  <c r="K29" i="9"/>
  <c r="F30" i="9"/>
  <c r="J30" i="9"/>
  <c r="K30" i="9"/>
  <c r="C38" i="9"/>
  <c r="D38" i="9"/>
  <c r="D41" i="9" s="1"/>
  <c r="E38" i="9"/>
  <c r="F38" i="9" s="1"/>
  <c r="K38" i="9" s="1"/>
  <c r="G38" i="9"/>
  <c r="H38" i="9"/>
  <c r="I38" i="9"/>
  <c r="I41" i="9" s="1"/>
  <c r="J38" i="9"/>
  <c r="F39" i="9"/>
  <c r="J39" i="9"/>
  <c r="K39" i="9" s="1"/>
  <c r="F40" i="9"/>
  <c r="J40" i="9"/>
  <c r="K40" i="9"/>
  <c r="C41" i="9"/>
  <c r="G41" i="9"/>
  <c r="J41" i="9" s="1"/>
  <c r="H41" i="9"/>
  <c r="D44" i="9"/>
  <c r="E44" i="9"/>
  <c r="C45" i="9"/>
  <c r="F45" i="9" s="1"/>
  <c r="D45" i="9"/>
  <c r="E45" i="9"/>
  <c r="G45" i="9"/>
  <c r="J45" i="9" s="1"/>
  <c r="H45" i="9"/>
  <c r="I45" i="9"/>
  <c r="C46" i="9"/>
  <c r="D46" i="9"/>
  <c r="E46" i="9"/>
  <c r="F46" i="9"/>
  <c r="G46" i="9"/>
  <c r="H46" i="9"/>
  <c r="I46" i="9"/>
  <c r="J46" i="9"/>
  <c r="C47" i="9"/>
  <c r="F47" i="9" s="1"/>
  <c r="D47" i="9"/>
  <c r="E47" i="9"/>
  <c r="G47" i="9"/>
  <c r="J47" i="9" s="1"/>
  <c r="H47" i="9"/>
  <c r="I47" i="9"/>
  <c r="G49" i="9"/>
  <c r="G50" i="9"/>
  <c r="F51" i="9"/>
  <c r="K51" i="9"/>
  <c r="F53" i="9"/>
  <c r="K53" i="9"/>
  <c r="F54" i="9"/>
  <c r="I54" i="9"/>
  <c r="J54" i="9" s="1"/>
  <c r="K54" i="9" s="1"/>
  <c r="C64" i="9"/>
  <c r="C24" i="9" s="1"/>
  <c r="C69" i="9"/>
  <c r="K22" i="9" l="1"/>
  <c r="K46" i="9"/>
  <c r="I24" i="9"/>
  <c r="G48" i="9"/>
  <c r="J48" i="9" s="1"/>
  <c r="H48" i="9"/>
  <c r="I48" i="9"/>
  <c r="E48" i="9"/>
  <c r="E43" i="9" s="1"/>
  <c r="E55" i="9" s="1"/>
  <c r="E56" i="9" s="1"/>
  <c r="D24" i="9"/>
  <c r="D19" i="9" s="1"/>
  <c r="D31" i="9" s="1"/>
  <c r="D32" i="9" s="1"/>
  <c r="H24" i="9"/>
  <c r="E24" i="9"/>
  <c r="F24" i="9"/>
  <c r="C48" i="9"/>
  <c r="D48" i="9"/>
  <c r="D43" i="9" s="1"/>
  <c r="D55" i="9" s="1"/>
  <c r="D56" i="9" s="1"/>
  <c r="G24" i="9"/>
  <c r="C19" i="9"/>
  <c r="I19" i="9"/>
  <c r="I31" i="9" s="1"/>
  <c r="I32" i="9" s="1"/>
  <c r="E19" i="9"/>
  <c r="K45" i="9"/>
  <c r="C25" i="9"/>
  <c r="G20" i="9"/>
  <c r="C44" i="9"/>
  <c r="F20" i="9"/>
  <c r="I52" i="9"/>
  <c r="I50" i="9" s="1"/>
  <c r="I49" i="9" s="1"/>
  <c r="E41" i="9"/>
  <c r="F41" i="9" s="1"/>
  <c r="H52" i="9"/>
  <c r="H50" i="9" s="1"/>
  <c r="G17" i="9"/>
  <c r="E52" i="9"/>
  <c r="E50" i="9" s="1"/>
  <c r="E49" i="9" s="1"/>
  <c r="I28" i="9"/>
  <c r="I26" i="9" s="1"/>
  <c r="I25" i="9" s="1"/>
  <c r="G52" i="9"/>
  <c r="D52" i="9"/>
  <c r="D50" i="9" s="1"/>
  <c r="D49" i="9" s="1"/>
  <c r="I44" i="9"/>
  <c r="H28" i="9"/>
  <c r="H26" i="9" s="1"/>
  <c r="H25" i="9" s="1"/>
  <c r="I23" i="9"/>
  <c r="F22" i="9"/>
  <c r="C52" i="9"/>
  <c r="H44" i="9"/>
  <c r="H43" i="9" s="1"/>
  <c r="G28" i="9"/>
  <c r="H23" i="9"/>
  <c r="H19" i="9" s="1"/>
  <c r="H31" i="9" s="1"/>
  <c r="H32" i="9" s="1"/>
  <c r="G44" i="9"/>
  <c r="E28" i="9"/>
  <c r="E26" i="9" s="1"/>
  <c r="E25" i="9" s="1"/>
  <c r="G23" i="9"/>
  <c r="D28" i="9"/>
  <c r="D26" i="9" s="1"/>
  <c r="D25" i="9" s="1"/>
  <c r="C62" i="1"/>
  <c r="J24" i="9" l="1"/>
  <c r="K24" i="9" s="1"/>
  <c r="J17" i="9"/>
  <c r="H49" i="9"/>
  <c r="J49" i="9" s="1"/>
  <c r="J50" i="9"/>
  <c r="C50" i="9"/>
  <c r="F52" i="9"/>
  <c r="K52" i="9" s="1"/>
  <c r="H55" i="9"/>
  <c r="H56" i="9" s="1"/>
  <c r="F19" i="9"/>
  <c r="C31" i="9"/>
  <c r="F26" i="9"/>
  <c r="F48" i="9"/>
  <c r="K48" i="9" s="1"/>
  <c r="G43" i="9"/>
  <c r="J44" i="9"/>
  <c r="G26" i="9"/>
  <c r="J28" i="9"/>
  <c r="K28" i="9" s="1"/>
  <c r="I43" i="9"/>
  <c r="I55" i="9" s="1"/>
  <c r="I56" i="9" s="1"/>
  <c r="C43" i="9"/>
  <c r="F44" i="9"/>
  <c r="F25" i="9"/>
  <c r="G19" i="9"/>
  <c r="J20" i="9"/>
  <c r="K20" i="9" s="1"/>
  <c r="E31" i="9"/>
  <c r="E32" i="9" s="1"/>
  <c r="J23" i="9"/>
  <c r="C23" i="1"/>
  <c r="H46" i="1" s="1"/>
  <c r="K55" i="1"/>
  <c r="I52" i="1"/>
  <c r="J52" i="1" s="1"/>
  <c r="K52" i="1" s="1"/>
  <c r="F52" i="1"/>
  <c r="K51" i="1"/>
  <c r="F51" i="1"/>
  <c r="E50" i="1"/>
  <c r="E48" i="1" s="1"/>
  <c r="E47" i="1" s="1"/>
  <c r="D50" i="1"/>
  <c r="D48" i="1" s="1"/>
  <c r="D47" i="1" s="1"/>
  <c r="K49" i="1"/>
  <c r="F49" i="1"/>
  <c r="G48" i="1"/>
  <c r="G47" i="1" s="1"/>
  <c r="H45" i="1"/>
  <c r="E43" i="1"/>
  <c r="C42" i="1"/>
  <c r="K38" i="1"/>
  <c r="J38" i="1"/>
  <c r="F38" i="1"/>
  <c r="I37" i="1"/>
  <c r="I39" i="1" s="1"/>
  <c r="H37" i="1"/>
  <c r="H39" i="1" s="1"/>
  <c r="G37" i="1"/>
  <c r="J37" i="1" s="1"/>
  <c r="E37" i="1"/>
  <c r="E39" i="1" s="1"/>
  <c r="D37" i="1"/>
  <c r="D39" i="1" s="1"/>
  <c r="C37" i="1"/>
  <c r="C39" i="1" s="1"/>
  <c r="K32" i="1"/>
  <c r="K29" i="1"/>
  <c r="J29" i="1"/>
  <c r="F29" i="1"/>
  <c r="K28" i="1"/>
  <c r="J28" i="1"/>
  <c r="G27" i="1"/>
  <c r="G25" i="1" s="1"/>
  <c r="G24" i="1" s="1"/>
  <c r="E27" i="1"/>
  <c r="E25" i="1" s="1"/>
  <c r="E24" i="1" s="1"/>
  <c r="C27" i="1"/>
  <c r="H50" i="1" s="1"/>
  <c r="H48" i="1" s="1"/>
  <c r="K26" i="1"/>
  <c r="J26" i="1"/>
  <c r="C25" i="1"/>
  <c r="C24" i="1" s="1"/>
  <c r="I22" i="1"/>
  <c r="C22" i="1"/>
  <c r="G45" i="1" s="1"/>
  <c r="C21" i="1"/>
  <c r="E44" i="1" s="1"/>
  <c r="H20" i="1"/>
  <c r="D20" i="1"/>
  <c r="C20" i="1"/>
  <c r="I43" i="1" s="1"/>
  <c r="E19" i="1"/>
  <c r="G42" i="1" s="1"/>
  <c r="D19" i="1"/>
  <c r="C19" i="1"/>
  <c r="I16" i="1"/>
  <c r="K15" i="1"/>
  <c r="J15" i="1"/>
  <c r="F15" i="1"/>
  <c r="I14" i="1"/>
  <c r="H14" i="1"/>
  <c r="H16" i="1" s="1"/>
  <c r="G14" i="1"/>
  <c r="G16" i="1" s="1"/>
  <c r="E14" i="1"/>
  <c r="E16" i="1" s="1"/>
  <c r="D14" i="1"/>
  <c r="D16" i="1" s="1"/>
  <c r="C14" i="1"/>
  <c r="C16" i="1" s="1"/>
  <c r="G25" i="9" l="1"/>
  <c r="J25" i="9" s="1"/>
  <c r="K25" i="9" s="1"/>
  <c r="J26" i="9"/>
  <c r="K26" i="9" s="1"/>
  <c r="F31" i="9"/>
  <c r="F32" i="9" s="1"/>
  <c r="K44" i="9"/>
  <c r="K17" i="9"/>
  <c r="K23" i="9"/>
  <c r="K47" i="9"/>
  <c r="J43" i="9"/>
  <c r="G55" i="9"/>
  <c r="G56" i="9" s="1"/>
  <c r="C33" i="9"/>
  <c r="C32" i="9"/>
  <c r="C49" i="9"/>
  <c r="F49" i="9" s="1"/>
  <c r="K49" i="9" s="1"/>
  <c r="F50" i="9"/>
  <c r="K50" i="9" s="1"/>
  <c r="F43" i="9"/>
  <c r="F55" i="9" s="1"/>
  <c r="F56" i="9" s="1"/>
  <c r="C55" i="9"/>
  <c r="C56" i="9" s="1"/>
  <c r="K41" i="9"/>
  <c r="J19" i="9"/>
  <c r="G31" i="9"/>
  <c r="G32" i="9" s="1"/>
  <c r="I27" i="1"/>
  <c r="I25" i="1" s="1"/>
  <c r="I24" i="1" s="1"/>
  <c r="G50" i="1"/>
  <c r="D27" i="1"/>
  <c r="D25" i="1" s="1"/>
  <c r="D24" i="1" s="1"/>
  <c r="F24" i="1" s="1"/>
  <c r="I50" i="1"/>
  <c r="I48" i="1" s="1"/>
  <c r="I47" i="1" s="1"/>
  <c r="D22" i="1"/>
  <c r="D45" i="1"/>
  <c r="C44" i="1"/>
  <c r="E21" i="1"/>
  <c r="G44" i="1"/>
  <c r="J44" i="1" s="1"/>
  <c r="G21" i="1"/>
  <c r="H44" i="1"/>
  <c r="H42" i="1"/>
  <c r="G19" i="1"/>
  <c r="F19" i="1"/>
  <c r="F16" i="1"/>
  <c r="F39" i="1"/>
  <c r="J16" i="1"/>
  <c r="G39" i="1"/>
  <c r="J39" i="1" s="1"/>
  <c r="K39" i="1" s="1"/>
  <c r="H47" i="1"/>
  <c r="J47" i="1" s="1"/>
  <c r="H27" i="1"/>
  <c r="J27" i="1" s="1"/>
  <c r="K27" i="1" s="1"/>
  <c r="C50" i="1"/>
  <c r="E22" i="1"/>
  <c r="E45" i="1"/>
  <c r="I45" i="1"/>
  <c r="J45" i="1" s="1"/>
  <c r="G22" i="1"/>
  <c r="F22" i="1"/>
  <c r="H22" i="1"/>
  <c r="C45" i="1"/>
  <c r="F45" i="1" s="1"/>
  <c r="H21" i="1"/>
  <c r="D44" i="1"/>
  <c r="F44" i="1" s="1"/>
  <c r="I44" i="1"/>
  <c r="D21" i="1"/>
  <c r="I21" i="1"/>
  <c r="J21" i="1" s="1"/>
  <c r="E20" i="1"/>
  <c r="I20" i="1"/>
  <c r="G43" i="1"/>
  <c r="C67" i="1"/>
  <c r="F20" i="1"/>
  <c r="C43" i="1"/>
  <c r="F43" i="1" s="1"/>
  <c r="H43" i="1"/>
  <c r="G20" i="1"/>
  <c r="J20" i="1" s="1"/>
  <c r="K20" i="1" s="1"/>
  <c r="D43" i="1"/>
  <c r="H19" i="1"/>
  <c r="J19" i="1" s="1"/>
  <c r="K19" i="1" s="1"/>
  <c r="D42" i="1"/>
  <c r="I42" i="1"/>
  <c r="J42" i="1" s="1"/>
  <c r="I19" i="1"/>
  <c r="E42" i="1"/>
  <c r="F42" i="1" s="1"/>
  <c r="H41" i="1"/>
  <c r="F37" i="1"/>
  <c r="K37" i="1" s="1"/>
  <c r="F14" i="1"/>
  <c r="J14" i="1"/>
  <c r="K21" i="1"/>
  <c r="F21" i="1"/>
  <c r="D23" i="1"/>
  <c r="D18" i="1" s="1"/>
  <c r="H23" i="1"/>
  <c r="E23" i="1"/>
  <c r="E18" i="1" s="1"/>
  <c r="E30" i="1" s="1"/>
  <c r="I23" i="1"/>
  <c r="C46" i="1"/>
  <c r="G46" i="1"/>
  <c r="G23" i="1"/>
  <c r="E46" i="1"/>
  <c r="I46" i="1"/>
  <c r="C18" i="1"/>
  <c r="H25" i="1"/>
  <c r="D46" i="1"/>
  <c r="D41" i="1" s="1"/>
  <c r="D53" i="1" s="1"/>
  <c r="J55" i="9" l="1"/>
  <c r="K43" i="9"/>
  <c r="K19" i="9"/>
  <c r="J31" i="9"/>
  <c r="D33" i="9"/>
  <c r="E33" i="9" s="1"/>
  <c r="G33" i="9" s="1"/>
  <c r="F33" i="9"/>
  <c r="H53" i="1"/>
  <c r="J48" i="1"/>
  <c r="F25" i="1"/>
  <c r="D30" i="1"/>
  <c r="G18" i="1"/>
  <c r="K44" i="1"/>
  <c r="I18" i="1"/>
  <c r="I30" i="1" s="1"/>
  <c r="C17" i="1"/>
  <c r="F40" i="1"/>
  <c r="D40" i="1"/>
  <c r="H40" i="1"/>
  <c r="I40" i="1"/>
  <c r="G17" i="1"/>
  <c r="J17" i="1"/>
  <c r="K16" i="1"/>
  <c r="K17" i="1" s="1"/>
  <c r="F50" i="1"/>
  <c r="K50" i="1" s="1"/>
  <c r="C48" i="1"/>
  <c r="I41" i="1"/>
  <c r="I53" i="1" s="1"/>
  <c r="J22" i="1"/>
  <c r="K22" i="1" s="1"/>
  <c r="J23" i="1"/>
  <c r="J43" i="1"/>
  <c r="K43" i="1" s="1"/>
  <c r="K42" i="1"/>
  <c r="H18" i="1"/>
  <c r="E41" i="1"/>
  <c r="E53" i="1" s="1"/>
  <c r="K14" i="1"/>
  <c r="C30" i="1"/>
  <c r="F18" i="1"/>
  <c r="F30" i="1" s="1"/>
  <c r="J46" i="1"/>
  <c r="G41" i="1"/>
  <c r="G30" i="1"/>
  <c r="J18" i="1"/>
  <c r="H17" i="1"/>
  <c r="I17" i="1"/>
  <c r="K40" i="1"/>
  <c r="C40" i="1"/>
  <c r="E17" i="1"/>
  <c r="G40" i="1"/>
  <c r="E40" i="1"/>
  <c r="H24" i="1"/>
  <c r="J24" i="1" s="1"/>
  <c r="K24" i="1" s="1"/>
  <c r="J25" i="1"/>
  <c r="F46" i="1"/>
  <c r="C41" i="1"/>
  <c r="F23" i="1"/>
  <c r="F17" i="1"/>
  <c r="J40" i="1"/>
  <c r="D17" i="1"/>
  <c r="J32" i="9" l="1"/>
  <c r="K31" i="9"/>
  <c r="K32" i="9" s="1"/>
  <c r="K55" i="9"/>
  <c r="K56" i="9" s="1"/>
  <c r="J56" i="9"/>
  <c r="H33" i="9"/>
  <c r="I33" i="9" s="1"/>
  <c r="C57" i="9" s="1"/>
  <c r="F48" i="1"/>
  <c r="C47" i="1"/>
  <c r="F47" i="1" s="1"/>
  <c r="K23" i="1"/>
  <c r="K45" i="1"/>
  <c r="G53" i="1"/>
  <c r="J41" i="1"/>
  <c r="K47" i="1"/>
  <c r="C32" i="1"/>
  <c r="D32" i="1" s="1"/>
  <c r="E32" i="1" s="1"/>
  <c r="G32" i="1" s="1"/>
  <c r="K25" i="1"/>
  <c r="K48" i="1"/>
  <c r="K46" i="1"/>
  <c r="F41" i="1"/>
  <c r="F53" i="1" s="1"/>
  <c r="H30" i="1"/>
  <c r="K18" i="1"/>
  <c r="J30" i="1"/>
  <c r="D57" i="9" l="1"/>
  <c r="E57" i="9" s="1"/>
  <c r="G57" i="9" s="1"/>
  <c r="J33" i="9"/>
  <c r="K33" i="9" s="1"/>
  <c r="C53" i="1"/>
  <c r="K41" i="1"/>
  <c r="J53" i="1"/>
  <c r="K30" i="1"/>
  <c r="H32" i="1"/>
  <c r="I32" i="1" s="1"/>
  <c r="C55" i="1" s="1"/>
  <c r="D55" i="1" s="1"/>
  <c r="E55" i="1" s="1"/>
  <c r="G55" i="1" s="1"/>
  <c r="H55" i="1" s="1"/>
  <c r="I55" i="1" s="1"/>
  <c r="H57" i="9" l="1"/>
  <c r="I57" i="9" s="1"/>
  <c r="J57" i="9"/>
  <c r="F57" i="9"/>
  <c r="K53" i="1"/>
  <c r="K57" i="9" l="1"/>
  <c r="K54" i="1"/>
  <c r="H54" i="1"/>
  <c r="E31" i="1"/>
  <c r="D54" i="1"/>
  <c r="D31" i="1"/>
  <c r="I31" i="1"/>
  <c r="I54" i="1"/>
  <c r="E54" i="1"/>
  <c r="G31" i="1"/>
  <c r="C31" i="1"/>
  <c r="F31" i="1"/>
  <c r="H31" i="1"/>
  <c r="F54" i="1"/>
  <c r="J31" i="1"/>
  <c r="C54" i="1"/>
  <c r="G54" i="1"/>
  <c r="J54" i="1"/>
  <c r="K31" i="1"/>
  <c r="C18" i="9" l="1"/>
  <c r="D18" i="9"/>
  <c r="E18" i="9"/>
  <c r="H18" i="9"/>
  <c r="C42" i="9"/>
  <c r="F18" i="9"/>
  <c r="H42" i="9"/>
  <c r="I18" i="9"/>
  <c r="D42" i="9"/>
  <c r="J42" i="9"/>
  <c r="G42" i="9"/>
  <c r="I42" i="9"/>
  <c r="F42" i="9"/>
  <c r="G18" i="9"/>
  <c r="E42" i="9"/>
  <c r="J18" i="9"/>
  <c r="K18" i="9"/>
  <c r="K42" i="9"/>
</calcChain>
</file>

<file path=xl/sharedStrings.xml><?xml version="1.0" encoding="utf-8"?>
<sst xmlns="http://schemas.openxmlformats.org/spreadsheetml/2006/main" count="151" uniqueCount="44">
  <si>
    <t xml:space="preserve"> </t>
  </si>
  <si>
    <t>Conselho Regional de Enfermagem de Pernambuco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</si>
  <si>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</si>
  <si>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</si>
  <si>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</si>
  <si>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</si>
  <si>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</si>
  <si>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</si>
  <si>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</si>
  <si>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</si>
  <si>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</si>
  <si>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</si>
  <si>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</si>
  <si>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</si>
  <si>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</si>
  <si>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</si>
  <si>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</si>
  <si>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</si>
  <si>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</si>
  <si>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</si>
  <si>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</si>
  <si>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</si>
  <si>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</si>
  <si>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</si>
  <si>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</si>
  <si>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</si>
  <si>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</si>
  <si>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</si>
  <si>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</si>
  <si>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</si>
  <si>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</si>
  <si>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</si>
  <si>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</si>
  <si>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</si>
  <si>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</si>
  <si>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</si>
  <si>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</si>
  <si>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</si>
  <si>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</si>
  <si>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</si>
  <si>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Juros e Encargos da Dívida</t>
  </si>
  <si>
    <t>Exercício: 2021</t>
  </si>
  <si>
    <t>SUPERAVIT FINANCEIRO DE EXERCICIO ANTERIOR</t>
  </si>
  <si>
    <t>APÓS 3ª REFORMULAÇÃO DO ORÇAMENTO – Conforme Decisão Coren-PE nº 0168/2021 e Decisão Cofen nº 0163/2021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</si>
</sst>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23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0"/>
      <name val="Arial"/>
      <charset val="1"/>
    </font>
    <font>
      <sz val="14"/>
      <color rgb="FFFF0000"/>
      <name val="Times New Roman"/>
      <family val="1"/>
      <charset val="1"/>
    </font>
    <font>
      <b/>
      <sz val="14"/>
      <color theme="0"/>
      <name val="Times New Roman"/>
      <family val="1"/>
      <charset val="1"/>
    </font>
    <font>
      <sz val="14"/>
      <color theme="0"/>
      <name val="Times New Roman"/>
      <family val="1"/>
      <charset val="1"/>
    </font>
    <font>
      <sz val="10"/>
      <color theme="0"/>
      <name val="Arial"/>
      <family val="2"/>
    </font>
    <font>
      <sz val="14"/>
      <color rgb="FFCE181E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FFFF"/>
      <name val="Times New Roman"/>
      <family val="1"/>
      <charset val="1"/>
    </font>
    <font>
      <sz val="12"/>
      <color rgb="FFFFFFFF"/>
      <name val="Arial"/>
      <family val="2"/>
      <charset val="1"/>
    </font>
    <font>
      <sz val="14"/>
      <color rgb="FFFFFFFF"/>
      <name val="Times New Roman"/>
      <family val="1"/>
      <charset val="1"/>
    </font>
    <font>
      <b/>
      <sz val="14"/>
      <color rgb="FFCE181E"/>
      <name val="Times New Roman"/>
      <family val="1"/>
      <charset val="1"/>
    </font>
    <font>
      <b/>
      <sz val="14"/>
      <color rgb="FFFFFFFF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6F9D4"/>
      </patternFill>
    </fill>
    <fill>
      <patternFill patternType="solid">
        <fgColor rgb="FFF6F9D4"/>
        <bgColor rgb="FFFFFFFF"/>
      </patternFill>
    </fill>
  </fills>
  <borders count="1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4" fontId="11" fillId="0" borderId="0" applyBorder="0" applyProtection="0"/>
    <xf numFmtId="9" fontId="11" fillId="0" borderId="0" applyBorder="0" applyProtection="0"/>
    <xf numFmtId="0" fontId="1" fillId="0" borderId="0"/>
    <xf numFmtId="0" fontId="1" fillId="0" borderId="0"/>
  </cellStyleXfs>
  <cellXfs count="119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2" fillId="0" borderId="0" xfId="0" applyFont="1" applyBorder="1" applyProtection="1"/>
    <xf numFmtId="1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/>
    <xf numFmtId="9" fontId="7" fillId="2" borderId="0" xfId="0" applyNumberFormat="1" applyFont="1" applyFill="1" applyAlignment="1" applyProtection="1">
      <alignment horizontal="center"/>
    </xf>
    <xf numFmtId="9" fontId="7" fillId="0" borderId="0" xfId="0" applyNumberFormat="1" applyFont="1" applyAlignment="1" applyProtection="1">
      <alignment horizontal="center"/>
    </xf>
    <xf numFmtId="0" fontId="8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4" fillId="2" borderId="7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horizontal="right" vertical="center"/>
    </xf>
    <xf numFmtId="0" fontId="9" fillId="2" borderId="9" xfId="0" applyFont="1" applyFill="1" applyBorder="1" applyAlignment="1" applyProtection="1">
      <alignment horizontal="right" vertical="center"/>
    </xf>
    <xf numFmtId="10" fontId="9" fillId="2" borderId="10" xfId="0" applyNumberFormat="1" applyFont="1" applyFill="1" applyBorder="1" applyProtection="1"/>
    <xf numFmtId="10" fontId="10" fillId="2" borderId="6" xfId="2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0" fontId="2" fillId="2" borderId="3" xfId="0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10" fontId="10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4" fillId="2" borderId="14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Protection="1"/>
    <xf numFmtId="10" fontId="9" fillId="2" borderId="0" xfId="0" applyNumberFormat="1" applyFont="1" applyFill="1" applyProtection="1"/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2" borderId="15" xfId="0" applyFont="1" applyFill="1" applyBorder="1" applyProtection="1"/>
    <xf numFmtId="0" fontId="2" fillId="2" borderId="0" xfId="0" applyFont="1" applyFill="1" applyBorder="1" applyProtection="1"/>
    <xf numFmtId="4" fontId="2" fillId="0" borderId="0" xfId="0" applyNumberFormat="1" applyFont="1" applyProtection="1"/>
    <xf numFmtId="0" fontId="12" fillId="0" borderId="0" xfId="0" applyFont="1" applyProtection="1"/>
    <xf numFmtId="0" fontId="12" fillId="2" borderId="0" xfId="0" applyFont="1" applyFill="1" applyProtection="1"/>
    <xf numFmtId="0" fontId="13" fillId="2" borderId="0" xfId="0" applyFont="1" applyFill="1" applyAlignment="1" applyProtection="1"/>
    <xf numFmtId="0" fontId="14" fillId="2" borderId="0" xfId="0" applyFont="1" applyFill="1" applyBorder="1" applyAlignment="1" applyProtection="1">
      <alignment horizontal="left" vertical="center"/>
    </xf>
    <xf numFmtId="164" fontId="15" fillId="0" borderId="0" xfId="1" applyFont="1" applyAlignment="1">
      <alignment wrapText="1"/>
    </xf>
    <xf numFmtId="164" fontId="14" fillId="2" borderId="0" xfId="1" applyFont="1" applyFill="1" applyBorder="1" applyAlignment="1" applyProtection="1"/>
    <xf numFmtId="0" fontId="1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Protection="1"/>
    <xf numFmtId="0" fontId="14" fillId="2" borderId="0" xfId="0" applyFont="1" applyFill="1" applyProtection="1"/>
    <xf numFmtId="0" fontId="14" fillId="0" borderId="0" xfId="0" applyFont="1" applyProtection="1"/>
    <xf numFmtId="0" fontId="12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2" fillId="3" borderId="0" xfId="0" applyFont="1" applyFill="1" applyBorder="1" applyProtection="1"/>
    <xf numFmtId="0" fontId="17" fillId="3" borderId="0" xfId="0" applyFont="1" applyFill="1" applyBorder="1" applyProtection="1"/>
    <xf numFmtId="164" fontId="18" fillId="3" borderId="0" xfId="1" applyFont="1" applyFill="1" applyBorder="1" applyAlignment="1" applyProtection="1"/>
    <xf numFmtId="0" fontId="18" fillId="3" borderId="0" xfId="0" applyFont="1" applyFill="1" applyBorder="1" applyProtection="1"/>
    <xf numFmtId="0" fontId="18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left" vertical="center"/>
    </xf>
    <xf numFmtId="164" fontId="19" fillId="0" borderId="0" xfId="1" applyFont="1" applyBorder="1" applyAlignment="1" applyProtection="1">
      <alignment wrapText="1"/>
    </xf>
    <xf numFmtId="0" fontId="20" fillId="0" borderId="0" xfId="0" applyFont="1" applyProtection="1"/>
    <xf numFmtId="0" fontId="20" fillId="3" borderId="0" xfId="0" applyFont="1" applyFill="1" applyProtection="1"/>
    <xf numFmtId="0" fontId="2" fillId="3" borderId="0" xfId="0" applyFont="1" applyFill="1" applyProtection="1"/>
    <xf numFmtId="0" fontId="12" fillId="3" borderId="0" xfId="0" applyFont="1" applyFill="1" applyProtection="1"/>
    <xf numFmtId="4" fontId="4" fillId="3" borderId="14" xfId="0" applyNumberFormat="1" applyFont="1" applyFill="1" applyBorder="1" applyAlignment="1" applyProtection="1">
      <alignment horizontal="right" vertical="center"/>
    </xf>
    <xf numFmtId="4" fontId="4" fillId="4" borderId="13" xfId="0" applyNumberFormat="1" applyFont="1" applyFill="1" applyBorder="1" applyAlignment="1" applyProtection="1">
      <alignment horizontal="right" vertical="center"/>
    </xf>
    <xf numFmtId="4" fontId="4" fillId="3" borderId="13" xfId="0" applyNumberFormat="1" applyFont="1" applyFill="1" applyBorder="1" applyAlignment="1" applyProtection="1">
      <alignment horizontal="right" vertical="center"/>
    </xf>
    <xf numFmtId="0" fontId="4" fillId="3" borderId="12" xfId="0" applyFont="1" applyFill="1" applyBorder="1" applyAlignment="1" applyProtection="1">
      <alignment horizontal="left" vertical="center"/>
    </xf>
    <xf numFmtId="10" fontId="10" fillId="3" borderId="11" xfId="2" applyNumberFormat="1" applyFont="1" applyFill="1" applyBorder="1" applyAlignment="1" applyProtection="1">
      <alignment horizontal="right" vertical="center"/>
    </xf>
    <xf numFmtId="10" fontId="9" fillId="4" borderId="10" xfId="0" applyNumberFormat="1" applyFont="1" applyFill="1" applyBorder="1" applyProtection="1"/>
    <xf numFmtId="10" fontId="9" fillId="3" borderId="10" xfId="0" applyNumberFormat="1" applyFont="1" applyFill="1" applyBorder="1" applyProtection="1"/>
    <xf numFmtId="0" fontId="9" fillId="3" borderId="9" xfId="0" applyFont="1" applyFill="1" applyBorder="1" applyAlignment="1" applyProtection="1">
      <alignment horizontal="right" vertical="center"/>
    </xf>
    <xf numFmtId="4" fontId="4" fillId="3" borderId="6" xfId="0" applyNumberFormat="1" applyFont="1" applyFill="1" applyBorder="1" applyAlignment="1" applyProtection="1">
      <alignment horizontal="right" vertical="center"/>
    </xf>
    <xf numFmtId="4" fontId="4" fillId="4" borderId="8" xfId="0" applyNumberFormat="1" applyFont="1" applyFill="1" applyBorder="1" applyAlignment="1" applyProtection="1">
      <alignment horizontal="right" vertical="center"/>
    </xf>
    <xf numFmtId="4" fontId="4" fillId="3" borderId="8" xfId="0" applyNumberFormat="1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left" vertical="center"/>
    </xf>
    <xf numFmtId="4" fontId="4" fillId="4" borderId="4" xfId="0" applyNumberFormat="1" applyFont="1" applyFill="1" applyBorder="1" applyAlignment="1" applyProtection="1">
      <alignment horizontal="right" vertical="center"/>
    </xf>
    <xf numFmtId="4" fontId="4" fillId="3" borderId="4" xfId="0" applyNumberFormat="1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vertical="center"/>
    </xf>
    <xf numFmtId="4" fontId="2" fillId="4" borderId="4" xfId="0" applyNumberFormat="1" applyFont="1" applyFill="1" applyBorder="1" applyAlignment="1" applyProtection="1">
      <alignment horizontal="right" vertical="center"/>
    </xf>
    <xf numFmtId="4" fontId="2" fillId="3" borderId="4" xfId="0" applyNumberFormat="1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left" vertical="center"/>
    </xf>
    <xf numFmtId="4" fontId="2" fillId="3" borderId="6" xfId="0" applyNumberFormat="1" applyFont="1" applyFill="1" applyBorder="1" applyAlignment="1" applyProtection="1">
      <alignment horizontal="right" vertical="center"/>
    </xf>
    <xf numFmtId="4" fontId="4" fillId="4" borderId="7" xfId="0" applyNumberFormat="1" applyFont="1" applyFill="1" applyBorder="1" applyAlignment="1" applyProtection="1">
      <alignment horizontal="right" vertical="center"/>
    </xf>
    <xf numFmtId="4" fontId="4" fillId="3" borderId="7" xfId="0" applyNumberFormat="1" applyFont="1" applyFill="1" applyBorder="1" applyAlignment="1" applyProtection="1">
      <alignment horizontal="right" vertical="center"/>
    </xf>
    <xf numFmtId="0" fontId="2" fillId="3" borderId="15" xfId="0" applyFont="1" applyFill="1" applyBorder="1" applyProtection="1"/>
    <xf numFmtId="10" fontId="10" fillId="3" borderId="6" xfId="2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0" fontId="4" fillId="3" borderId="0" xfId="0" applyFont="1" applyFill="1" applyAlignment="1" applyProtection="1">
      <alignment horizontal="left"/>
    </xf>
    <xf numFmtId="0" fontId="4" fillId="3" borderId="0" xfId="0" applyFont="1" applyFill="1" applyAlignment="1" applyProtection="1">
      <alignment horizontal="center"/>
    </xf>
    <xf numFmtId="0" fontId="9" fillId="3" borderId="0" xfId="0" applyFont="1" applyFill="1" applyProtection="1"/>
    <xf numFmtId="10" fontId="9" fillId="3" borderId="0" xfId="0" applyNumberFormat="1" applyFont="1" applyFill="1" applyProtection="1"/>
    <xf numFmtId="0" fontId="4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right"/>
    </xf>
    <xf numFmtId="9" fontId="7" fillId="3" borderId="0" xfId="0" applyNumberFormat="1" applyFont="1" applyFill="1" applyAlignment="1" applyProtection="1">
      <alignment horizontal="center"/>
    </xf>
    <xf numFmtId="9" fontId="21" fillId="3" borderId="0" xfId="0" applyNumberFormat="1" applyFont="1" applyFill="1" applyAlignment="1" applyProtection="1">
      <alignment horizontal="center"/>
    </xf>
    <xf numFmtId="0" fontId="22" fillId="3" borderId="0" xfId="0" applyFont="1" applyFill="1" applyAlignment="1" applyProtection="1"/>
    <xf numFmtId="0" fontId="16" fillId="3" borderId="0" xfId="0" applyFont="1" applyFill="1" applyProtection="1"/>
    <xf numFmtId="0" fontId="21" fillId="0" borderId="0" xfId="0" applyFont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1" fontId="2" fillId="3" borderId="0" xfId="0" applyNumberFormat="1" applyFont="1" applyFill="1" applyBorder="1" applyAlignment="1" applyProtection="1">
      <alignment horizontal="left" vertical="center"/>
    </xf>
  </cellXfs>
  <cellStyles count="5">
    <cellStyle name="Normal" xfId="0" builtinId="0"/>
    <cellStyle name="Normal 3" xfId="3"/>
    <cellStyle name="Normal 5" xfId="4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552600</xdr:colOff>
      <xdr:row>0</xdr:row>
      <xdr:rowOff>152280</xdr:rowOff>
    </xdr:from>
    <xdr:to>
      <xdr:col>10</xdr:col>
      <xdr:colOff>1380960</xdr:colOff>
      <xdr:row>6</xdr:row>
      <xdr:rowOff>110520</xdr:rowOff>
    </xdr:to>
    <xdr:sp macro="" textlink="">
      <xdr:nvSpPr>
        <xdr:cNvPr id="2" name="CustomShape 1"/>
        <xdr:cNvSpPr/>
      </xdr:nvSpPr>
      <xdr:spPr>
        <a:xfrm>
          <a:off x="763920" y="152280"/>
          <a:ext cx="19028160" cy="100584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44280</xdr:colOff>
      <xdr:row>0</xdr:row>
      <xdr:rowOff>136440</xdr:rowOff>
    </xdr:from>
    <xdr:to>
      <xdr:col>10</xdr:col>
      <xdr:colOff>1380600</xdr:colOff>
      <xdr:row>6</xdr:row>
      <xdr:rowOff>110520</xdr:rowOff>
    </xdr:to>
    <xdr:sp macro="" textlink="">
      <xdr:nvSpPr>
        <xdr:cNvPr id="3" name="CustomShape 1"/>
        <xdr:cNvSpPr/>
      </xdr:nvSpPr>
      <xdr:spPr>
        <a:xfrm>
          <a:off x="255600" y="136440"/>
          <a:ext cx="19536120" cy="102168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/>
        <xdr:cNvSpPr/>
      </xdr:nvSpPr>
      <xdr:spPr>
        <a:xfrm>
          <a:off x="1162560" y="152280"/>
          <a:ext cx="5542155" cy="9290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/>
        <xdr:cNvSpPr/>
      </xdr:nvSpPr>
      <xdr:spPr>
        <a:xfrm>
          <a:off x="654240" y="136440"/>
          <a:ext cx="6050115" cy="9449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82"/>
  <sheetViews>
    <sheetView showGridLines="0" tabSelected="1" topLeftCell="A10" zoomScale="60" zoomScaleNormal="60" workbookViewId="0">
      <selection activeCell="F65" sqref="F65"/>
    </sheetView>
  </sheetViews>
  <sheetFormatPr defaultRowHeight="18.75" x14ac:dyDescent="0.3"/>
  <cols>
    <col min="1" max="1" width="3" style="1" customWidth="1"/>
    <col min="2" max="2" width="76.28515625" style="1" customWidth="1"/>
    <col min="3" max="10" width="22.7109375" style="1" customWidth="1"/>
    <col min="11" max="11" width="27.140625" style="1" customWidth="1"/>
    <col min="12" max="19" width="22.7109375" style="1" customWidth="1"/>
    <col min="20" max="20" width="16.140625" style="1" customWidth="1"/>
    <col min="21" max="21" width="14.5703125" style="1" customWidth="1"/>
    <col min="22" max="22" width="17" style="1" customWidth="1"/>
    <col min="23" max="23" width="14.42578125" style="2" customWidth="1"/>
    <col min="24" max="1025" width="9.140625" style="1" customWidth="1"/>
  </cols>
  <sheetData>
    <row r="1" spans="1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2.75" customHeight="1" x14ac:dyDescent="0.3">
      <c r="A2" s="3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/>
      <c r="U2" s="5"/>
      <c r="V2" s="6"/>
      <c r="W2" s="4"/>
    </row>
    <row r="3" spans="1:23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W3" s="4"/>
    </row>
    <row r="4" spans="1:23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"/>
      <c r="U4" s="7"/>
      <c r="W4" s="4"/>
    </row>
    <row r="5" spans="1:23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7"/>
      <c r="U5" s="7"/>
      <c r="W5" s="4"/>
    </row>
    <row r="6" spans="1:23" ht="12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8"/>
      <c r="U6" s="58"/>
      <c r="V6" s="7"/>
      <c r="W6" s="4"/>
    </row>
    <row r="7" spans="1:23" ht="13.1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31.5" customHeight="1" x14ac:dyDescent="0.3">
      <c r="A8" s="3"/>
      <c r="B8" s="8" t="s">
        <v>1</v>
      </c>
      <c r="C8" s="59"/>
      <c r="D8" s="59"/>
      <c r="E8" s="59"/>
      <c r="F8" s="59"/>
      <c r="G8" s="59"/>
      <c r="H8" s="59"/>
      <c r="I8" s="5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4"/>
    </row>
    <row r="9" spans="1:23" ht="19.5" customHeight="1" x14ac:dyDescent="0.3">
      <c r="A9" s="3"/>
      <c r="B9" s="10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4"/>
    </row>
    <row r="10" spans="1:23" ht="13.15" customHeight="1" x14ac:dyDescent="0.3">
      <c r="A10" s="3"/>
      <c r="B10" s="4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</row>
    <row r="11" spans="1:23" x14ac:dyDescent="0.3">
      <c r="A11" s="3"/>
      <c r="B11" s="49">
        <v>15500407.02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4"/>
      <c r="W11" s="4"/>
    </row>
    <row r="12" spans="1:23" s="1" customFormat="1" ht="18.75" customHeight="1" x14ac:dyDescent="0.3">
      <c r="A12" s="3"/>
      <c r="B12" s="15" t="s">
        <v>2</v>
      </c>
      <c r="C12" s="60" t="s">
        <v>3</v>
      </c>
      <c r="D12" s="60"/>
      <c r="E12" s="60"/>
      <c r="F12" s="60"/>
      <c r="G12" s="60"/>
      <c r="H12" s="60"/>
      <c r="I12" s="60"/>
      <c r="J12" s="60"/>
      <c r="K12" s="60"/>
    </row>
    <row r="13" spans="1:23" s="1" customFormat="1" x14ac:dyDescent="0.3">
      <c r="A13" s="3"/>
      <c r="B13" s="16" t="s">
        <v>4</v>
      </c>
      <c r="C13" s="17" t="s">
        <v>5</v>
      </c>
      <c r="D13" s="18" t="s">
        <v>6</v>
      </c>
      <c r="E13" s="18" t="s">
        <v>7</v>
      </c>
      <c r="F13" s="18" t="s">
        <v>8</v>
      </c>
      <c r="G13" s="18" t="s">
        <v>9</v>
      </c>
      <c r="H13" s="18" t="s">
        <v>10</v>
      </c>
      <c r="I13" s="18" t="s">
        <v>11</v>
      </c>
      <c r="J13" s="18" t="s">
        <v>12</v>
      </c>
      <c r="K13" s="19" t="s">
        <v>13</v>
      </c>
    </row>
    <row r="14" spans="1:23" s="1" customFormat="1" x14ac:dyDescent="0.3">
      <c r="A14" s="3"/>
      <c r="B14" s="20" t="s">
        <v>14</v>
      </c>
      <c r="C14" s="21">
        <f>B11*22.48%</f>
        <v>3484491.4980959999</v>
      </c>
      <c r="D14" s="21">
        <f>B11*14.91%</f>
        <v>2311110.6866820003</v>
      </c>
      <c r="E14" s="21">
        <f>B11*21.43%</f>
        <v>3321737.2243859996</v>
      </c>
      <c r="F14" s="22">
        <f>SUM(C14:E14)</f>
        <v>9117339.4091640003</v>
      </c>
      <c r="G14" s="23">
        <f>B11*5.74%</f>
        <v>889723.36294799997</v>
      </c>
      <c r="H14" s="23">
        <f>B11*6.21%</f>
        <v>962575.27594199998</v>
      </c>
      <c r="I14" s="23">
        <f>B11*5.13%</f>
        <v>795170.88012599992</v>
      </c>
      <c r="J14" s="22">
        <f>SUM(G14:I14)</f>
        <v>2647469.519016</v>
      </c>
      <c r="K14" s="24">
        <f>SUM(J14,F14)</f>
        <v>11764808.92818</v>
      </c>
    </row>
    <row r="15" spans="1:23" s="1" customFormat="1" x14ac:dyDescent="0.3">
      <c r="A15" s="3"/>
      <c r="B15" s="20" t="s">
        <v>15</v>
      </c>
      <c r="C15" s="21">
        <v>0</v>
      </c>
      <c r="D15" s="21">
        <v>0</v>
      </c>
      <c r="E15" s="21">
        <v>0</v>
      </c>
      <c r="F15" s="22">
        <f>SUM(C15:E15)</f>
        <v>0</v>
      </c>
      <c r="G15" s="23">
        <v>0</v>
      </c>
      <c r="H15" s="23">
        <v>0</v>
      </c>
      <c r="I15" s="23">
        <v>0</v>
      </c>
      <c r="J15" s="22">
        <f>SUM(G15:I15)</f>
        <v>0</v>
      </c>
      <c r="K15" s="24">
        <f>SUM(J15,F15)</f>
        <v>0</v>
      </c>
    </row>
    <row r="16" spans="1:23" s="1" customFormat="1" x14ac:dyDescent="0.3">
      <c r="A16" s="3"/>
      <c r="B16" s="25" t="s">
        <v>16</v>
      </c>
      <c r="C16" s="26">
        <f>SUM(C14:C15)</f>
        <v>3484491.4980959999</v>
      </c>
      <c r="D16" s="26">
        <f>SUM(D14:D15)</f>
        <v>2311110.6866820003</v>
      </c>
      <c r="E16" s="26">
        <f>SUM(E14:E15)</f>
        <v>3321737.2243859996</v>
      </c>
      <c r="F16" s="22">
        <f>SUM(C16:E16)</f>
        <v>9117339.4091640003</v>
      </c>
      <c r="G16" s="26">
        <f>SUM(G14:G15)</f>
        <v>889723.36294799997</v>
      </c>
      <c r="H16" s="26">
        <f>SUM(H14:H15)</f>
        <v>962575.27594199998</v>
      </c>
      <c r="I16" s="26">
        <f>SUM(I14:I15)</f>
        <v>795170.88012599992</v>
      </c>
      <c r="J16" s="22">
        <f>SUM(G16:I16)</f>
        <v>2647469.519016</v>
      </c>
      <c r="K16" s="24">
        <f>F16+J16</f>
        <v>11764808.92818</v>
      </c>
    </row>
    <row r="17" spans="1:20" s="30" customFormat="1" x14ac:dyDescent="0.3">
      <c r="A17" s="3"/>
      <c r="B17" s="27" t="s">
        <v>17</v>
      </c>
      <c r="C17" s="28">
        <f t="shared" ref="C17:K17" si="0">C16/$K$39</f>
        <v>0.2248</v>
      </c>
      <c r="D17" s="28">
        <f t="shared" si="0"/>
        <v>0.14910000000000001</v>
      </c>
      <c r="E17" s="28">
        <f t="shared" si="0"/>
        <v>0.21429999999999999</v>
      </c>
      <c r="F17" s="28">
        <f t="shared" si="0"/>
        <v>0.58820000000000006</v>
      </c>
      <c r="G17" s="28">
        <f t="shared" si="0"/>
        <v>5.74E-2</v>
      </c>
      <c r="H17" s="28">
        <f t="shared" si="0"/>
        <v>6.2100000000000002E-2</v>
      </c>
      <c r="I17" s="28">
        <f t="shared" si="0"/>
        <v>5.1299999999999998E-2</v>
      </c>
      <c r="J17" s="28">
        <f t="shared" si="0"/>
        <v>0.17080000000000001</v>
      </c>
      <c r="K17" s="29">
        <f t="shared" si="0"/>
        <v>0.75900000000000001</v>
      </c>
    </row>
    <row r="18" spans="1:20" s="1" customFormat="1" ht="24.95" customHeight="1" x14ac:dyDescent="0.3">
      <c r="A18" s="3"/>
      <c r="B18" s="31" t="s">
        <v>18</v>
      </c>
      <c r="C18" s="22">
        <f>C19+C20+C21+C22+C23</f>
        <v>1277700.585</v>
      </c>
      <c r="D18" s="22">
        <f>D19+D20+D21+D22+D23</f>
        <v>1277700.585</v>
      </c>
      <c r="E18" s="22">
        <f>E19+E20+E21+E22+E23</f>
        <v>1277700.585</v>
      </c>
      <c r="F18" s="22">
        <f t="shared" ref="F18:F25" si="1">SUM(C18:E18)</f>
        <v>3833101.7549999999</v>
      </c>
      <c r="G18" s="22">
        <f>G19+G20+G21+G22+G23</f>
        <v>1277700.585</v>
      </c>
      <c r="H18" s="22">
        <f>H19+H20+H21+H22+H23</f>
        <v>1277700.585</v>
      </c>
      <c r="I18" s="22">
        <f>I19+I20+I21+I22+I23</f>
        <v>1277700.585</v>
      </c>
      <c r="J18" s="22">
        <f t="shared" ref="J18:J29" si="2">SUM(G18:I18)</f>
        <v>3833101.7549999999</v>
      </c>
      <c r="K18" s="24">
        <f>SUM(J18,F18,)</f>
        <v>7666203.5099999998</v>
      </c>
    </row>
    <row r="19" spans="1:20" s="1" customFormat="1" ht="20.100000000000001" customHeight="1" x14ac:dyDescent="0.3">
      <c r="A19" s="3"/>
      <c r="B19" s="20" t="s">
        <v>19</v>
      </c>
      <c r="C19" s="23">
        <f>C58/12</f>
        <v>506202.95833333331</v>
      </c>
      <c r="D19" s="23">
        <f>C58/12</f>
        <v>506202.95833333331</v>
      </c>
      <c r="E19" s="23">
        <f>C58/12</f>
        <v>506202.95833333331</v>
      </c>
      <c r="F19" s="32">
        <f t="shared" si="1"/>
        <v>1518608.875</v>
      </c>
      <c r="G19" s="23">
        <f>$E$19</f>
        <v>506202.95833333331</v>
      </c>
      <c r="H19" s="23">
        <f>$E$19</f>
        <v>506202.95833333331</v>
      </c>
      <c r="I19" s="23">
        <f>$E$19</f>
        <v>506202.95833333331</v>
      </c>
      <c r="J19" s="23">
        <f t="shared" si="2"/>
        <v>1518608.875</v>
      </c>
      <c r="K19" s="33">
        <f>SUM(J19,F19,)</f>
        <v>3037217.75</v>
      </c>
    </row>
    <row r="20" spans="1:20" s="1" customFormat="1" ht="20.100000000000001" customHeight="1" x14ac:dyDescent="0.3">
      <c r="A20" s="3"/>
      <c r="B20" s="20" t="s">
        <v>40</v>
      </c>
      <c r="C20" s="23">
        <f>C59/12</f>
        <v>0</v>
      </c>
      <c r="D20" s="23">
        <f>$C$20</f>
        <v>0</v>
      </c>
      <c r="E20" s="23">
        <f>$C$20</f>
        <v>0</v>
      </c>
      <c r="F20" s="32">
        <f t="shared" si="1"/>
        <v>0</v>
      </c>
      <c r="G20" s="23">
        <f>$C$20</f>
        <v>0</v>
      </c>
      <c r="H20" s="23">
        <f>$C$20</f>
        <v>0</v>
      </c>
      <c r="I20" s="23">
        <f>$C$20</f>
        <v>0</v>
      </c>
      <c r="J20" s="23">
        <f t="shared" si="2"/>
        <v>0</v>
      </c>
      <c r="K20" s="24">
        <f>SUM(J20,F20,)</f>
        <v>0</v>
      </c>
    </row>
    <row r="21" spans="1:20" s="1" customFormat="1" ht="20.100000000000001" customHeight="1" x14ac:dyDescent="0.3">
      <c r="A21" s="3"/>
      <c r="B21" s="20" t="s">
        <v>20</v>
      </c>
      <c r="C21" s="23">
        <f>C60/12</f>
        <v>14750</v>
      </c>
      <c r="D21" s="23">
        <f>$C$21</f>
        <v>14750</v>
      </c>
      <c r="E21" s="23">
        <f>$C$21</f>
        <v>14750</v>
      </c>
      <c r="F21" s="32">
        <f t="shared" si="1"/>
        <v>44250</v>
      </c>
      <c r="G21" s="23">
        <f>$C$21</f>
        <v>14750</v>
      </c>
      <c r="H21" s="23">
        <f>$C$21</f>
        <v>14750</v>
      </c>
      <c r="I21" s="23">
        <f>$C$21</f>
        <v>14750</v>
      </c>
      <c r="J21" s="23">
        <f t="shared" si="2"/>
        <v>44250</v>
      </c>
      <c r="K21" s="24">
        <f>SUM(J21,F21,)</f>
        <v>88500</v>
      </c>
    </row>
    <row r="22" spans="1:20" s="34" customFormat="1" ht="20.100000000000001" customHeight="1" x14ac:dyDescent="0.3">
      <c r="B22" s="20" t="s">
        <v>21</v>
      </c>
      <c r="C22" s="23">
        <f>C61/12</f>
        <v>14252.895833333334</v>
      </c>
      <c r="D22" s="23">
        <f>$C$22</f>
        <v>14252.895833333334</v>
      </c>
      <c r="E22" s="23">
        <f>$C$22</f>
        <v>14252.895833333334</v>
      </c>
      <c r="F22" s="32">
        <f t="shared" si="1"/>
        <v>42758.6875</v>
      </c>
      <c r="G22" s="23">
        <f>$C$22</f>
        <v>14252.895833333334</v>
      </c>
      <c r="H22" s="23">
        <f>$C$22</f>
        <v>14252.895833333334</v>
      </c>
      <c r="I22" s="23">
        <f>$C$22</f>
        <v>14252.895833333334</v>
      </c>
      <c r="J22" s="23">
        <f t="shared" si="2"/>
        <v>42758.6875</v>
      </c>
      <c r="K22" s="24">
        <f>SUM(J22,F22,)</f>
        <v>85517.375</v>
      </c>
    </row>
    <row r="23" spans="1:20" s="34" customFormat="1" ht="20.100000000000001" customHeight="1" x14ac:dyDescent="0.3">
      <c r="B23" s="20" t="s">
        <v>22</v>
      </c>
      <c r="C23" s="23">
        <f>C62/12</f>
        <v>742494.73083333333</v>
      </c>
      <c r="D23" s="23">
        <f>$C$23</f>
        <v>742494.73083333333</v>
      </c>
      <c r="E23" s="23">
        <f>$C$23</f>
        <v>742494.73083333333</v>
      </c>
      <c r="F23" s="32">
        <f t="shared" si="1"/>
        <v>2227484.1924999999</v>
      </c>
      <c r="G23" s="23">
        <f>$C$23</f>
        <v>742494.73083333333</v>
      </c>
      <c r="H23" s="23">
        <f>$C$23</f>
        <v>742494.73083333333</v>
      </c>
      <c r="I23" s="23">
        <f>$C$23</f>
        <v>742494.73083333333</v>
      </c>
      <c r="J23" s="23">
        <f t="shared" si="2"/>
        <v>2227484.1924999999</v>
      </c>
      <c r="K23" s="24">
        <f>SUM(J23,F23)</f>
        <v>4454968.3849999998</v>
      </c>
    </row>
    <row r="24" spans="1:20" s="1" customFormat="1" ht="24.95" customHeight="1" x14ac:dyDescent="0.3">
      <c r="A24" s="3"/>
      <c r="B24" s="31" t="s">
        <v>23</v>
      </c>
      <c r="C24" s="32">
        <f>C25+C28</f>
        <v>5666.666666666667</v>
      </c>
      <c r="D24" s="32">
        <f>D25</f>
        <v>5666.666666666667</v>
      </c>
      <c r="E24" s="32">
        <f>E25</f>
        <v>5666.666666666667</v>
      </c>
      <c r="F24" s="32">
        <f t="shared" si="1"/>
        <v>17000</v>
      </c>
      <c r="G24" s="32">
        <f>G25</f>
        <v>5666.666666666667</v>
      </c>
      <c r="H24" s="32">
        <f>H25</f>
        <v>5666.666666666667</v>
      </c>
      <c r="I24" s="32">
        <f>I25</f>
        <v>5666.666666666667</v>
      </c>
      <c r="J24" s="32">
        <f t="shared" si="2"/>
        <v>17000</v>
      </c>
      <c r="K24" s="24">
        <f>SUM(J24,F24,)</f>
        <v>34000</v>
      </c>
    </row>
    <row r="25" spans="1:20" s="1" customFormat="1" ht="20.100000000000001" customHeight="1" x14ac:dyDescent="0.3">
      <c r="A25" s="3"/>
      <c r="B25" s="20" t="s">
        <v>24</v>
      </c>
      <c r="C25" s="23">
        <f>SUM(C26:C27)</f>
        <v>5666.666666666667</v>
      </c>
      <c r="D25" s="23">
        <f>SUM(D26:D28)</f>
        <v>5666.666666666667</v>
      </c>
      <c r="E25" s="23">
        <f>SUM(E26:E28)</f>
        <v>5666.666666666667</v>
      </c>
      <c r="F25" s="23">
        <f t="shared" si="1"/>
        <v>17000</v>
      </c>
      <c r="G25" s="23">
        <f>SUM(G26:G28)</f>
        <v>5666.666666666667</v>
      </c>
      <c r="H25" s="23">
        <f>SUM(H26:H28)</f>
        <v>5666.666666666667</v>
      </c>
      <c r="I25" s="23">
        <f>SUM(I26:I28)</f>
        <v>5666.666666666667</v>
      </c>
      <c r="J25" s="23">
        <f t="shared" si="2"/>
        <v>17000</v>
      </c>
      <c r="K25" s="33">
        <f t="shared" ref="K25:K30" si="3">SUM(J25,F25)</f>
        <v>34000</v>
      </c>
    </row>
    <row r="26" spans="1:20" s="34" customFormat="1" ht="20.100000000000001" customHeight="1" x14ac:dyDescent="0.3">
      <c r="B26" s="20" t="s">
        <v>25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32">
        <f t="shared" si="2"/>
        <v>0</v>
      </c>
      <c r="K26" s="24">
        <f t="shared" si="3"/>
        <v>0</v>
      </c>
    </row>
    <row r="27" spans="1:20" s="34" customFormat="1" ht="20.100000000000001" customHeight="1" x14ac:dyDescent="0.3">
      <c r="B27" s="20" t="s">
        <v>26</v>
      </c>
      <c r="C27" s="23">
        <f>C64/12</f>
        <v>5666.666666666667</v>
      </c>
      <c r="D27" s="23">
        <f>$C$27</f>
        <v>5666.666666666667</v>
      </c>
      <c r="E27" s="23">
        <f>$C$27</f>
        <v>5666.666666666667</v>
      </c>
      <c r="F27" s="23">
        <v>0</v>
      </c>
      <c r="G27" s="23">
        <f>$C$27</f>
        <v>5666.666666666667</v>
      </c>
      <c r="H27" s="23">
        <f>$C$27</f>
        <v>5666.666666666667</v>
      </c>
      <c r="I27" s="23">
        <f>$C$27</f>
        <v>5666.666666666667</v>
      </c>
      <c r="J27" s="32">
        <f t="shared" si="2"/>
        <v>17000</v>
      </c>
      <c r="K27" s="24">
        <f t="shared" si="3"/>
        <v>17000</v>
      </c>
    </row>
    <row r="28" spans="1:20" s="34" customFormat="1" ht="20.100000000000001" customHeight="1" x14ac:dyDescent="0.3">
      <c r="B28" s="20" t="s">
        <v>27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32">
        <f t="shared" si="2"/>
        <v>0</v>
      </c>
      <c r="K28" s="24">
        <f t="shared" si="3"/>
        <v>0</v>
      </c>
    </row>
    <row r="29" spans="1:20" s="1" customFormat="1" ht="24.95" customHeight="1" x14ac:dyDescent="0.3">
      <c r="A29" s="3"/>
      <c r="B29" s="31" t="s">
        <v>28</v>
      </c>
      <c r="C29" s="32">
        <v>0</v>
      </c>
      <c r="D29" s="32">
        <v>0</v>
      </c>
      <c r="E29" s="32">
        <v>0</v>
      </c>
      <c r="F29" s="32">
        <f>SUM(C29:E29)</f>
        <v>0</v>
      </c>
      <c r="G29" s="32">
        <v>0</v>
      </c>
      <c r="H29" s="32">
        <v>0</v>
      </c>
      <c r="I29" s="32">
        <v>0</v>
      </c>
      <c r="J29" s="32">
        <f t="shared" si="2"/>
        <v>0</v>
      </c>
      <c r="K29" s="24">
        <f t="shared" si="3"/>
        <v>0</v>
      </c>
    </row>
    <row r="30" spans="1:20" s="34" customFormat="1" ht="20.100000000000001" customHeight="1" x14ac:dyDescent="0.3">
      <c r="B30" s="25" t="s">
        <v>29</v>
      </c>
      <c r="C30" s="26">
        <f>C18+C24</f>
        <v>1283367.2516666667</v>
      </c>
      <c r="D30" s="26">
        <f>D18+D24</f>
        <v>1283367.2516666667</v>
      </c>
      <c r="E30" s="26">
        <f>E18+E24</f>
        <v>1283367.2516666667</v>
      </c>
      <c r="F30" s="26">
        <f>F18+F24+F29</f>
        <v>3850101.7549999999</v>
      </c>
      <c r="G30" s="26">
        <f>G18+G24</f>
        <v>1283367.2516666667</v>
      </c>
      <c r="H30" s="26">
        <f>H18+H24</f>
        <v>1283367.2516666667</v>
      </c>
      <c r="I30" s="26">
        <f>I18+I24</f>
        <v>1283367.2516666667</v>
      </c>
      <c r="J30" s="26">
        <f>J18+J24+F29</f>
        <v>3850101.7549999999</v>
      </c>
      <c r="K30" s="24">
        <f t="shared" si="3"/>
        <v>7700203.5099999998</v>
      </c>
    </row>
    <row r="31" spans="1:20" s="30" customFormat="1" x14ac:dyDescent="0.3">
      <c r="A31" s="3"/>
      <c r="B31" s="27" t="s">
        <v>17</v>
      </c>
      <c r="C31" s="28">
        <f t="shared" ref="C31:K31" si="4">C30/$K$53</f>
        <v>8.2795713042293176E-2</v>
      </c>
      <c r="D31" s="28">
        <f t="shared" si="4"/>
        <v>8.2795713042293176E-2</v>
      </c>
      <c r="E31" s="28">
        <f t="shared" si="4"/>
        <v>8.2795713042293176E-2</v>
      </c>
      <c r="F31" s="28">
        <f t="shared" si="4"/>
        <v>0.24838713912687951</v>
      </c>
      <c r="G31" s="28">
        <f t="shared" si="4"/>
        <v>8.2795713042293176E-2</v>
      </c>
      <c r="H31" s="28">
        <f t="shared" si="4"/>
        <v>8.2795713042293176E-2</v>
      </c>
      <c r="I31" s="28">
        <f t="shared" si="4"/>
        <v>8.2795713042293176E-2</v>
      </c>
      <c r="J31" s="28">
        <f t="shared" si="4"/>
        <v>0.24838713912687951</v>
      </c>
      <c r="K31" s="35">
        <f t="shared" si="4"/>
        <v>0.49677427825375903</v>
      </c>
    </row>
    <row r="32" spans="1:20" s="1" customFormat="1" ht="24.95" customHeight="1" x14ac:dyDescent="0.3">
      <c r="A32" s="3"/>
      <c r="B32" s="36" t="s">
        <v>30</v>
      </c>
      <c r="C32" s="37">
        <f>C16-C30</f>
        <v>2201124.2464293335</v>
      </c>
      <c r="D32" s="37">
        <f>(C32+D16)-D30</f>
        <v>3228867.6814446673</v>
      </c>
      <c r="E32" s="37">
        <f>(D32+E16)-E30</f>
        <v>5267237.6541639995</v>
      </c>
      <c r="F32" s="37">
        <v>0</v>
      </c>
      <c r="G32" s="37">
        <f>(E32+G16)-G30</f>
        <v>4873593.765445333</v>
      </c>
      <c r="H32" s="37">
        <f>(G32+H16)-H30</f>
        <v>4552801.7897206657</v>
      </c>
      <c r="I32" s="37">
        <f>(H32+I16)-I30</f>
        <v>4064605.4181799982</v>
      </c>
      <c r="J32" s="37">
        <v>0</v>
      </c>
      <c r="K32" s="38">
        <f>SUM(J32,F32)</f>
        <v>0</v>
      </c>
      <c r="T32" s="34"/>
    </row>
    <row r="33" spans="1:23" s="30" customFormat="1" x14ac:dyDescent="0.3">
      <c r="A33" s="39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39"/>
      <c r="V33" s="39"/>
      <c r="W33" s="39"/>
    </row>
    <row r="34" spans="1:23" s="1" customFormat="1" x14ac:dyDescent="0.3">
      <c r="A34" s="3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1"/>
      <c r="T34" s="3"/>
      <c r="U34" s="3"/>
      <c r="V34" s="4"/>
    </row>
    <row r="35" spans="1:23" s="1" customFormat="1" x14ac:dyDescent="0.3">
      <c r="A35" s="3"/>
      <c r="B35" s="15" t="s">
        <v>2</v>
      </c>
      <c r="C35" s="60" t="s">
        <v>3</v>
      </c>
      <c r="D35" s="60"/>
      <c r="E35" s="60"/>
      <c r="F35" s="60"/>
      <c r="G35" s="60"/>
      <c r="H35" s="60"/>
      <c r="I35" s="60"/>
      <c r="J35" s="60"/>
      <c r="K35" s="60"/>
      <c r="L35" s="43"/>
      <c r="M35" s="43"/>
      <c r="N35" s="43"/>
      <c r="O35" s="43"/>
      <c r="P35" s="43"/>
      <c r="Q35" s="43"/>
      <c r="R35" s="43"/>
      <c r="S35" s="34"/>
      <c r="T35" s="3"/>
      <c r="U35" s="3"/>
      <c r="V35" s="2"/>
    </row>
    <row r="36" spans="1:23" s="1" customFormat="1" x14ac:dyDescent="0.3">
      <c r="A36" s="3"/>
      <c r="B36" s="16" t="s">
        <v>4</v>
      </c>
      <c r="C36" s="18" t="s">
        <v>31</v>
      </c>
      <c r="D36" s="18" t="s">
        <v>32</v>
      </c>
      <c r="E36" s="18" t="s">
        <v>33</v>
      </c>
      <c r="F36" s="18" t="s">
        <v>34</v>
      </c>
      <c r="G36" s="18" t="s">
        <v>35</v>
      </c>
      <c r="H36" s="18" t="s">
        <v>36</v>
      </c>
      <c r="I36" s="18" t="s">
        <v>37</v>
      </c>
      <c r="J36" s="18" t="s">
        <v>38</v>
      </c>
      <c r="K36" s="19" t="s">
        <v>39</v>
      </c>
      <c r="L36" s="43"/>
      <c r="M36" s="43"/>
      <c r="N36" s="43"/>
      <c r="O36" s="43"/>
      <c r="P36" s="43"/>
      <c r="Q36" s="43"/>
      <c r="R36" s="43"/>
      <c r="S36" s="34"/>
      <c r="T36" s="3"/>
      <c r="U36" s="3"/>
      <c r="V36" s="2"/>
    </row>
    <row r="37" spans="1:23" s="1" customFormat="1" x14ac:dyDescent="0.3">
      <c r="A37" s="3"/>
      <c r="B37" s="20" t="s">
        <v>14</v>
      </c>
      <c r="C37" s="23">
        <f>B11*5.23%</f>
        <v>810671.28714600008</v>
      </c>
      <c r="D37" s="23">
        <f>B11*5.95%</f>
        <v>922274.21769000008</v>
      </c>
      <c r="E37" s="23">
        <f>B11*4.76%</f>
        <v>737819.37415199995</v>
      </c>
      <c r="F37" s="22">
        <f>SUM(C37:E37)</f>
        <v>2470764.8789880001</v>
      </c>
      <c r="G37" s="23">
        <f>B11*2.34%</f>
        <v>362709.52426799992</v>
      </c>
      <c r="H37" s="23">
        <f>B11*2.33%</f>
        <v>361159.48356600001</v>
      </c>
      <c r="I37" s="23">
        <f>B11*3.49%</f>
        <v>540964.20499799994</v>
      </c>
      <c r="J37" s="22">
        <f>SUM(G37:I37)</f>
        <v>1264833.2128319999</v>
      </c>
      <c r="K37" s="24">
        <f>SUM(J37,F37,J14,F14)</f>
        <v>15500407.02</v>
      </c>
      <c r="L37" s="43"/>
      <c r="M37" s="43"/>
      <c r="N37" s="43"/>
      <c r="O37" s="43"/>
      <c r="P37" s="43"/>
      <c r="Q37" s="43"/>
      <c r="R37" s="43"/>
      <c r="S37" s="34"/>
      <c r="T37" s="3"/>
      <c r="U37" s="3"/>
      <c r="V37" s="2"/>
    </row>
    <row r="38" spans="1:23" s="1" customFormat="1" x14ac:dyDescent="0.3">
      <c r="B38" s="20" t="s">
        <v>15</v>
      </c>
      <c r="C38" s="23">
        <v>0</v>
      </c>
      <c r="D38" s="23">
        <v>0</v>
      </c>
      <c r="E38" s="23">
        <v>0</v>
      </c>
      <c r="F38" s="22">
        <f>SUM(C38:E38)</f>
        <v>0</v>
      </c>
      <c r="G38" s="23">
        <v>0</v>
      </c>
      <c r="H38" s="23">
        <v>0</v>
      </c>
      <c r="I38" s="23">
        <v>0</v>
      </c>
      <c r="J38" s="22">
        <f>SUM(G38:I38)</f>
        <v>0</v>
      </c>
      <c r="K38" s="24">
        <f>SUM(J38,F38,J15,F15)</f>
        <v>0</v>
      </c>
      <c r="L38" s="43"/>
      <c r="M38" s="43"/>
      <c r="N38" s="43"/>
      <c r="O38" s="43"/>
      <c r="P38" s="43"/>
      <c r="Q38" s="43"/>
      <c r="R38" s="43"/>
      <c r="S38" s="34"/>
      <c r="T38" s="3"/>
      <c r="U38" s="3"/>
      <c r="V38" s="2"/>
    </row>
    <row r="39" spans="1:23" x14ac:dyDescent="0.3">
      <c r="B39" s="25" t="s">
        <v>16</v>
      </c>
      <c r="C39" s="26">
        <f>SUM(C37:C38)</f>
        <v>810671.28714600008</v>
      </c>
      <c r="D39" s="26">
        <f>SUM(D37:D38)</f>
        <v>922274.21769000008</v>
      </c>
      <c r="E39" s="26">
        <f>SUM(E37:E38)</f>
        <v>737819.37415199995</v>
      </c>
      <c r="F39" s="22">
        <f>SUM(C39:E39)</f>
        <v>2470764.8789880001</v>
      </c>
      <c r="G39" s="26">
        <f>SUM(G37:G38)</f>
        <v>362709.52426799992</v>
      </c>
      <c r="H39" s="26">
        <f>SUM(H37:H38)</f>
        <v>361159.48356600001</v>
      </c>
      <c r="I39" s="26">
        <f>SUM(I37:I38)</f>
        <v>540964.20499799994</v>
      </c>
      <c r="J39" s="22">
        <f>SUM(G39:I39)</f>
        <v>1264833.2128319999</v>
      </c>
      <c r="K39" s="24">
        <f>SUM(J39,F39,J16,F16)</f>
        <v>15500407.02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3" x14ac:dyDescent="0.3">
      <c r="B40" s="27" t="s">
        <v>17</v>
      </c>
      <c r="C40" s="28">
        <f t="shared" ref="C40:K40" si="5">C39/$K$39</f>
        <v>5.2300000000000006E-2</v>
      </c>
      <c r="D40" s="28">
        <f t="shared" si="5"/>
        <v>5.9500000000000004E-2</v>
      </c>
      <c r="E40" s="28">
        <f t="shared" si="5"/>
        <v>4.7599999999999996E-2</v>
      </c>
      <c r="F40" s="28">
        <f t="shared" si="5"/>
        <v>0.15940000000000001</v>
      </c>
      <c r="G40" s="28">
        <f t="shared" si="5"/>
        <v>2.3399999999999997E-2</v>
      </c>
      <c r="H40" s="28">
        <f t="shared" si="5"/>
        <v>2.3300000000000001E-2</v>
      </c>
      <c r="I40" s="28">
        <f t="shared" si="5"/>
        <v>3.49E-2</v>
      </c>
      <c r="J40" s="28">
        <f t="shared" si="5"/>
        <v>8.1599999999999992E-2</v>
      </c>
      <c r="K40" s="29">
        <f t="shared" si="5"/>
        <v>1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5"/>
    </row>
    <row r="41" spans="1:23" x14ac:dyDescent="0.3">
      <c r="B41" s="31" t="s">
        <v>18</v>
      </c>
      <c r="C41" s="22">
        <f>C42+C43+C44+C45+C46</f>
        <v>1277700.585</v>
      </c>
      <c r="D41" s="22">
        <f>D42+D43+D44+D45+D46</f>
        <v>1277700.585</v>
      </c>
      <c r="E41" s="22">
        <f>E42+E43+E44+E45+E46</f>
        <v>1277700.585</v>
      </c>
      <c r="F41" s="22">
        <f t="shared" ref="F41:F52" si="6">SUM(C41:E41)</f>
        <v>3833101.7549999999</v>
      </c>
      <c r="G41" s="22">
        <f>G42+G43+G44+G45+G46</f>
        <v>1277700.585</v>
      </c>
      <c r="H41" s="22">
        <f>H42+H43+H44+H45+H46</f>
        <v>1277700.585</v>
      </c>
      <c r="I41" s="22">
        <f>I42+I43+I44+I45+I46</f>
        <v>1277700.585</v>
      </c>
      <c r="J41" s="22">
        <f t="shared" ref="J41:J48" si="7">SUM(G41:I41)</f>
        <v>3833101.7549999999</v>
      </c>
      <c r="K41" s="24">
        <f t="shared" ref="K41:K53" si="8">SUM(J41,F41,J18,F18)</f>
        <v>15332407.02</v>
      </c>
    </row>
    <row r="42" spans="1:23" x14ac:dyDescent="0.3">
      <c r="B42" s="20" t="s">
        <v>19</v>
      </c>
      <c r="C42" s="23">
        <f>$E$19</f>
        <v>506202.95833333331</v>
      </c>
      <c r="D42" s="23">
        <f>$E$19</f>
        <v>506202.95833333331</v>
      </c>
      <c r="E42" s="23">
        <f>$E$19</f>
        <v>506202.95833333331</v>
      </c>
      <c r="F42" s="23">
        <f t="shared" si="6"/>
        <v>1518608.875</v>
      </c>
      <c r="G42" s="23">
        <f>$E$19</f>
        <v>506202.95833333331</v>
      </c>
      <c r="H42" s="23">
        <f>$E$19</f>
        <v>506202.95833333331</v>
      </c>
      <c r="I42" s="23">
        <f>$E$19</f>
        <v>506202.95833333331</v>
      </c>
      <c r="J42" s="23">
        <f t="shared" si="7"/>
        <v>1518608.875</v>
      </c>
      <c r="K42" s="33">
        <f t="shared" si="8"/>
        <v>6074435.5</v>
      </c>
    </row>
    <row r="43" spans="1:23" x14ac:dyDescent="0.3">
      <c r="B43" s="20" t="s">
        <v>40</v>
      </c>
      <c r="C43" s="23">
        <f>$C$20</f>
        <v>0</v>
      </c>
      <c r="D43" s="23">
        <f>$C$20</f>
        <v>0</v>
      </c>
      <c r="E43" s="23">
        <f>$C$20</f>
        <v>0</v>
      </c>
      <c r="F43" s="23">
        <f t="shared" si="6"/>
        <v>0</v>
      </c>
      <c r="G43" s="23">
        <f>$C$20</f>
        <v>0</v>
      </c>
      <c r="H43" s="23">
        <f>$C$20</f>
        <v>0</v>
      </c>
      <c r="I43" s="23">
        <f>$C$20</f>
        <v>0</v>
      </c>
      <c r="J43" s="23">
        <f t="shared" si="7"/>
        <v>0</v>
      </c>
      <c r="K43" s="24">
        <f t="shared" si="8"/>
        <v>0</v>
      </c>
    </row>
    <row r="44" spans="1:23" x14ac:dyDescent="0.3">
      <c r="B44" s="20" t="s">
        <v>20</v>
      </c>
      <c r="C44" s="23">
        <f>$C$21</f>
        <v>14750</v>
      </c>
      <c r="D44" s="23">
        <f>$C$21</f>
        <v>14750</v>
      </c>
      <c r="E44" s="23">
        <f>$C$21</f>
        <v>14750</v>
      </c>
      <c r="F44" s="23">
        <f t="shared" si="6"/>
        <v>44250</v>
      </c>
      <c r="G44" s="23">
        <f>$C$21</f>
        <v>14750</v>
      </c>
      <c r="H44" s="23">
        <f>$C$21</f>
        <v>14750</v>
      </c>
      <c r="I44" s="23">
        <f>$C$21</f>
        <v>14750</v>
      </c>
      <c r="J44" s="23">
        <f t="shared" si="7"/>
        <v>44250</v>
      </c>
      <c r="K44" s="24">
        <f t="shared" si="8"/>
        <v>177000</v>
      </c>
    </row>
    <row r="45" spans="1:23" x14ac:dyDescent="0.3">
      <c r="B45" s="20" t="s">
        <v>21</v>
      </c>
      <c r="C45" s="23">
        <f>$C$22</f>
        <v>14252.895833333334</v>
      </c>
      <c r="D45" s="23">
        <f>$C$22</f>
        <v>14252.895833333334</v>
      </c>
      <c r="E45" s="23">
        <f>$C$22</f>
        <v>14252.895833333334</v>
      </c>
      <c r="F45" s="23">
        <f t="shared" si="6"/>
        <v>42758.6875</v>
      </c>
      <c r="G45" s="23">
        <f>$C$22</f>
        <v>14252.895833333334</v>
      </c>
      <c r="H45" s="23">
        <f>$C$22</f>
        <v>14252.895833333334</v>
      </c>
      <c r="I45" s="23">
        <f>$C$22</f>
        <v>14252.895833333334</v>
      </c>
      <c r="J45" s="23">
        <f t="shared" si="7"/>
        <v>42758.6875</v>
      </c>
      <c r="K45" s="24">
        <f t="shared" si="8"/>
        <v>171034.75</v>
      </c>
    </row>
    <row r="46" spans="1:23" x14ac:dyDescent="0.3">
      <c r="B46" s="20" t="s">
        <v>22</v>
      </c>
      <c r="C46" s="23">
        <f>$C$23</f>
        <v>742494.73083333333</v>
      </c>
      <c r="D46" s="23">
        <f>$C$23</f>
        <v>742494.73083333333</v>
      </c>
      <c r="E46" s="23">
        <f>$C$23</f>
        <v>742494.73083333333</v>
      </c>
      <c r="F46" s="23">
        <f t="shared" si="6"/>
        <v>2227484.1924999999</v>
      </c>
      <c r="G46" s="23">
        <f>$C$23</f>
        <v>742494.73083333333</v>
      </c>
      <c r="H46" s="23">
        <f>$C$23</f>
        <v>742494.73083333333</v>
      </c>
      <c r="I46" s="23">
        <f>$C$23</f>
        <v>742494.73083333333</v>
      </c>
      <c r="J46" s="23">
        <f t="shared" si="7"/>
        <v>2227484.1924999999</v>
      </c>
      <c r="K46" s="24">
        <f t="shared" si="8"/>
        <v>8909936.7699999996</v>
      </c>
    </row>
    <row r="47" spans="1:23" x14ac:dyDescent="0.3">
      <c r="B47" s="31" t="s">
        <v>23</v>
      </c>
      <c r="C47" s="32">
        <f>C48</f>
        <v>5666.666666666667</v>
      </c>
      <c r="D47" s="32">
        <f>D48</f>
        <v>5666.666666666667</v>
      </c>
      <c r="E47" s="32">
        <f>E48</f>
        <v>5666.666666666667</v>
      </c>
      <c r="F47" s="32">
        <f t="shared" si="6"/>
        <v>17000</v>
      </c>
      <c r="G47" s="32">
        <f>G48</f>
        <v>5666.666666666667</v>
      </c>
      <c r="H47" s="32">
        <f>H48</f>
        <v>5666.666666666667</v>
      </c>
      <c r="I47" s="32">
        <f>I48</f>
        <v>5666.666666666667</v>
      </c>
      <c r="J47" s="32">
        <f t="shared" si="7"/>
        <v>17000</v>
      </c>
      <c r="K47" s="24">
        <f t="shared" si="8"/>
        <v>68000</v>
      </c>
    </row>
    <row r="48" spans="1:23" x14ac:dyDescent="0.3">
      <c r="B48" s="20" t="s">
        <v>24</v>
      </c>
      <c r="C48" s="23">
        <f>SUM(C49:C51)</f>
        <v>5666.666666666667</v>
      </c>
      <c r="D48" s="23">
        <f>SUM(D49:D51)</f>
        <v>5666.666666666667</v>
      </c>
      <c r="E48" s="23">
        <f>SUM(E49:E51)</f>
        <v>5666.666666666667</v>
      </c>
      <c r="F48" s="23">
        <f t="shared" si="6"/>
        <v>17000</v>
      </c>
      <c r="G48" s="23">
        <f>C64/12</f>
        <v>5666.666666666667</v>
      </c>
      <c r="H48" s="23">
        <f>SUM(H49:H51)</f>
        <v>5666.666666666667</v>
      </c>
      <c r="I48" s="23">
        <f>SUM(I49:I51)</f>
        <v>5666.666666666667</v>
      </c>
      <c r="J48" s="23">
        <f t="shared" si="7"/>
        <v>17000</v>
      </c>
      <c r="K48" s="33">
        <f t="shared" si="8"/>
        <v>68000</v>
      </c>
    </row>
    <row r="49" spans="2:11" x14ac:dyDescent="0.3">
      <c r="B49" s="20" t="s">
        <v>25</v>
      </c>
      <c r="C49" s="23">
        <v>0</v>
      </c>
      <c r="D49" s="23">
        <v>0</v>
      </c>
      <c r="E49" s="23">
        <v>0</v>
      </c>
      <c r="F49" s="32">
        <f t="shared" si="6"/>
        <v>0</v>
      </c>
      <c r="G49" s="23">
        <v>0</v>
      </c>
      <c r="H49" s="23">
        <v>0</v>
      </c>
      <c r="I49" s="23">
        <v>0</v>
      </c>
      <c r="J49" s="23">
        <v>0</v>
      </c>
      <c r="K49" s="24">
        <f t="shared" si="8"/>
        <v>0</v>
      </c>
    </row>
    <row r="50" spans="2:11" x14ac:dyDescent="0.3">
      <c r="B50" s="20" t="s">
        <v>26</v>
      </c>
      <c r="C50" s="23">
        <f>$C$27</f>
        <v>5666.666666666667</v>
      </c>
      <c r="D50" s="23">
        <f>$C$27</f>
        <v>5666.666666666667</v>
      </c>
      <c r="E50" s="23">
        <f>$C$27</f>
        <v>5666.666666666667</v>
      </c>
      <c r="F50" s="32">
        <f t="shared" si="6"/>
        <v>17000</v>
      </c>
      <c r="G50" s="23">
        <f>$C$27</f>
        <v>5666.666666666667</v>
      </c>
      <c r="H50" s="23">
        <f>$C$27</f>
        <v>5666.666666666667</v>
      </c>
      <c r="I50" s="23">
        <f>$C$27</f>
        <v>5666.666666666667</v>
      </c>
      <c r="J50" s="23">
        <v>0</v>
      </c>
      <c r="K50" s="24">
        <f t="shared" si="8"/>
        <v>34000</v>
      </c>
    </row>
    <row r="51" spans="2:11" x14ac:dyDescent="0.3">
      <c r="B51" s="20" t="s">
        <v>27</v>
      </c>
      <c r="C51" s="23">
        <v>0</v>
      </c>
      <c r="D51" s="23">
        <v>0</v>
      </c>
      <c r="E51" s="23">
        <v>0</v>
      </c>
      <c r="F51" s="32">
        <f t="shared" si="6"/>
        <v>0</v>
      </c>
      <c r="G51" s="23">
        <v>0</v>
      </c>
      <c r="H51" s="23">
        <v>0</v>
      </c>
      <c r="I51" s="23">
        <v>0</v>
      </c>
      <c r="J51" s="23">
        <v>0</v>
      </c>
      <c r="K51" s="24">
        <f t="shared" si="8"/>
        <v>0</v>
      </c>
    </row>
    <row r="52" spans="2:11" x14ac:dyDescent="0.3">
      <c r="B52" s="31" t="s">
        <v>28</v>
      </c>
      <c r="C52" s="32">
        <v>0</v>
      </c>
      <c r="D52" s="32">
        <v>0</v>
      </c>
      <c r="E52" s="32">
        <v>0</v>
      </c>
      <c r="F52" s="32">
        <f t="shared" si="6"/>
        <v>0</v>
      </c>
      <c r="G52" s="32">
        <v>0</v>
      </c>
      <c r="H52" s="32">
        <v>0</v>
      </c>
      <c r="I52" s="32">
        <f>C66</f>
        <v>100000</v>
      </c>
      <c r="J52" s="32">
        <f>SUM(G52:I52)</f>
        <v>100000</v>
      </c>
      <c r="K52" s="24">
        <f t="shared" si="8"/>
        <v>100000</v>
      </c>
    </row>
    <row r="53" spans="2:11" x14ac:dyDescent="0.3">
      <c r="B53" s="25" t="s">
        <v>29</v>
      </c>
      <c r="C53" s="26">
        <f>C41+C47</f>
        <v>1283367.2516666667</v>
      </c>
      <c r="D53" s="26">
        <f>D41+D47</f>
        <v>1283367.2516666667</v>
      </c>
      <c r="E53" s="26">
        <f>E41+E47</f>
        <v>1283367.2516666667</v>
      </c>
      <c r="F53" s="26">
        <f>F41+F47+F52</f>
        <v>3850101.7549999999</v>
      </c>
      <c r="G53" s="26">
        <f>G41+G47</f>
        <v>1283367.2516666667</v>
      </c>
      <c r="H53" s="26">
        <f>H41+H47</f>
        <v>1283367.2516666667</v>
      </c>
      <c r="I53" s="26">
        <f>I41+I47+I52</f>
        <v>1383367.2516666667</v>
      </c>
      <c r="J53" s="26">
        <f>J41+J47+J52</f>
        <v>3950101.7549999999</v>
      </c>
      <c r="K53" s="24">
        <f t="shared" si="8"/>
        <v>15500407.02</v>
      </c>
    </row>
    <row r="54" spans="2:11" x14ac:dyDescent="0.3">
      <c r="B54" s="27" t="s">
        <v>17</v>
      </c>
      <c r="C54" s="28">
        <f t="shared" ref="C54:K54" si="9">C53/$K$53</f>
        <v>8.2795713042293176E-2</v>
      </c>
      <c r="D54" s="28">
        <f t="shared" si="9"/>
        <v>8.2795713042293176E-2</v>
      </c>
      <c r="E54" s="28">
        <f t="shared" si="9"/>
        <v>8.2795713042293176E-2</v>
      </c>
      <c r="F54" s="28">
        <f t="shared" si="9"/>
        <v>0.24838713912687951</v>
      </c>
      <c r="G54" s="28">
        <f t="shared" si="9"/>
        <v>8.2795713042293176E-2</v>
      </c>
      <c r="H54" s="28">
        <f t="shared" si="9"/>
        <v>8.2795713042293176E-2</v>
      </c>
      <c r="I54" s="28">
        <f t="shared" si="9"/>
        <v>8.9247156534775093E-2</v>
      </c>
      <c r="J54" s="28">
        <f t="shared" si="9"/>
        <v>0.25483858261936143</v>
      </c>
      <c r="K54" s="35">
        <f t="shared" si="9"/>
        <v>1</v>
      </c>
    </row>
    <row r="55" spans="2:11" x14ac:dyDescent="0.3">
      <c r="B55" s="36" t="s">
        <v>30</v>
      </c>
      <c r="C55" s="37">
        <f>(I32+C39)-C53</f>
        <v>3591909.4536593314</v>
      </c>
      <c r="D55" s="37">
        <f>(C55+D39)-D53</f>
        <v>3230816.4196826648</v>
      </c>
      <c r="E55" s="37">
        <f>(D55+E39)-E53</f>
        <v>2685268.5421679979</v>
      </c>
      <c r="F55" s="37">
        <v>0</v>
      </c>
      <c r="G55" s="37">
        <f>(E55+G39)-G53</f>
        <v>1764610.8147693311</v>
      </c>
      <c r="H55" s="37">
        <f>(G55+H39)-H53</f>
        <v>842403.04666866432</v>
      </c>
      <c r="I55" s="37">
        <f>(H55+I39)-I53</f>
        <v>-2.5611370801925659E-9</v>
      </c>
      <c r="J55" s="37">
        <v>0</v>
      </c>
      <c r="K55" s="38">
        <f>SUM(J55,F55,J32,F32)</f>
        <v>0</v>
      </c>
    </row>
    <row r="56" spans="2:11" x14ac:dyDescent="0.3">
      <c r="B56" s="48"/>
      <c r="C56" s="48"/>
      <c r="D56" s="48"/>
      <c r="E56" s="48"/>
      <c r="F56" s="3"/>
      <c r="G56" s="3"/>
      <c r="H56" s="3"/>
      <c r="I56" s="3"/>
      <c r="J56" s="3"/>
      <c r="K56" s="3"/>
    </row>
    <row r="57" spans="2:11" x14ac:dyDescent="0.3">
      <c r="B57" s="55"/>
      <c r="C57" s="56"/>
      <c r="D57" s="47"/>
      <c r="E57" s="47"/>
    </row>
    <row r="58" spans="2:11" x14ac:dyDescent="0.3">
      <c r="B58" s="50" t="s">
        <v>19</v>
      </c>
      <c r="C58" s="51">
        <v>6074435.5</v>
      </c>
      <c r="D58" s="47"/>
      <c r="E58" s="47"/>
    </row>
    <row r="59" spans="2:11" x14ac:dyDescent="0.3">
      <c r="B59" s="50" t="s">
        <v>40</v>
      </c>
      <c r="C59" s="51"/>
      <c r="D59" s="47"/>
      <c r="E59" s="47"/>
    </row>
    <row r="60" spans="2:11" x14ac:dyDescent="0.3">
      <c r="B60" s="50" t="s">
        <v>20</v>
      </c>
      <c r="C60" s="51">
        <v>177000</v>
      </c>
      <c r="D60" s="47"/>
      <c r="E60" s="47"/>
    </row>
    <row r="61" spans="2:11" x14ac:dyDescent="0.3">
      <c r="B61" s="50" t="s">
        <v>21</v>
      </c>
      <c r="C61" s="51">
        <v>171034.75</v>
      </c>
      <c r="D61" s="47"/>
      <c r="E61" s="47"/>
      <c r="K61" s="46"/>
    </row>
    <row r="62" spans="2:11" x14ac:dyDescent="0.3">
      <c r="B62" s="50" t="s">
        <v>22</v>
      </c>
      <c r="C62" s="52">
        <f>9257971.52-(C59+C60+C61)</f>
        <v>8909936.7699999996</v>
      </c>
      <c r="D62" s="47"/>
      <c r="E62" s="47"/>
    </row>
    <row r="63" spans="2:11" x14ac:dyDescent="0.3">
      <c r="B63" s="50" t="s">
        <v>25</v>
      </c>
      <c r="C63" s="52">
        <v>0</v>
      </c>
      <c r="D63" s="47"/>
      <c r="E63" s="47"/>
    </row>
    <row r="64" spans="2:11" x14ac:dyDescent="0.3">
      <c r="B64" s="50" t="s">
        <v>26</v>
      </c>
      <c r="C64" s="52">
        <v>68000</v>
      </c>
      <c r="D64" s="47"/>
      <c r="E64" s="47"/>
    </row>
    <row r="65" spans="2:5" x14ac:dyDescent="0.3">
      <c r="B65" s="50" t="s">
        <v>27</v>
      </c>
      <c r="C65" s="52">
        <v>0</v>
      </c>
      <c r="D65" s="47"/>
      <c r="E65" s="47"/>
    </row>
    <row r="66" spans="2:5" x14ac:dyDescent="0.3">
      <c r="B66" s="53" t="s">
        <v>28</v>
      </c>
      <c r="C66" s="52">
        <v>100000</v>
      </c>
      <c r="D66" s="47"/>
      <c r="E66" s="47"/>
    </row>
    <row r="67" spans="2:5" x14ac:dyDescent="0.3">
      <c r="B67" s="54"/>
      <c r="C67" s="52">
        <f>SUM(C58:C66)</f>
        <v>15500407.02</v>
      </c>
      <c r="D67" s="47"/>
      <c r="E67" s="47"/>
    </row>
    <row r="68" spans="2:5" x14ac:dyDescent="0.3">
      <c r="B68" s="57"/>
      <c r="C68" s="57"/>
      <c r="D68" s="47"/>
      <c r="E68" s="47"/>
    </row>
    <row r="69" spans="2:5" x14ac:dyDescent="0.3">
      <c r="B69" s="57"/>
      <c r="C69" s="57"/>
      <c r="D69" s="47"/>
      <c r="E69" s="47"/>
    </row>
    <row r="70" spans="2:5" x14ac:dyDescent="0.3">
      <c r="B70" s="47"/>
      <c r="C70" s="47"/>
      <c r="D70" s="47"/>
      <c r="E70" s="47"/>
    </row>
    <row r="71" spans="2:5" x14ac:dyDescent="0.3">
      <c r="B71" s="47"/>
      <c r="C71" s="47"/>
      <c r="D71" s="47"/>
      <c r="E71" s="47"/>
    </row>
    <row r="72" spans="2:5" x14ac:dyDescent="0.3">
      <c r="B72" s="47"/>
      <c r="C72" s="47"/>
      <c r="D72" s="47"/>
      <c r="E72" s="47"/>
    </row>
    <row r="73" spans="2:5" x14ac:dyDescent="0.3">
      <c r="B73" s="47"/>
      <c r="C73" s="47"/>
      <c r="D73" s="47"/>
      <c r="E73" s="47"/>
    </row>
    <row r="74" spans="2:5" x14ac:dyDescent="0.3">
      <c r="B74" s="47"/>
      <c r="C74" s="47"/>
      <c r="D74" s="47"/>
      <c r="E74" s="47"/>
    </row>
    <row r="75" spans="2:5" x14ac:dyDescent="0.3">
      <c r="B75" s="47"/>
      <c r="C75" s="47"/>
      <c r="D75" s="47"/>
      <c r="E75" s="47"/>
    </row>
    <row r="76" spans="2:5" x14ac:dyDescent="0.3">
      <c r="B76" s="47"/>
      <c r="C76" s="47"/>
      <c r="D76" s="47"/>
      <c r="E76" s="47"/>
    </row>
    <row r="77" spans="2:5" x14ac:dyDescent="0.3">
      <c r="B77" s="47"/>
      <c r="C77" s="47"/>
      <c r="D77" s="47"/>
      <c r="E77" s="47"/>
    </row>
    <row r="78" spans="2:5" x14ac:dyDescent="0.3">
      <c r="B78" s="47"/>
      <c r="C78" s="47"/>
      <c r="D78" s="47"/>
      <c r="E78" s="47"/>
    </row>
    <row r="79" spans="2:5" x14ac:dyDescent="0.3">
      <c r="B79" s="47"/>
      <c r="C79" s="47"/>
      <c r="D79" s="47"/>
      <c r="E79" s="47"/>
    </row>
    <row r="80" spans="2:5" x14ac:dyDescent="0.3">
      <c r="B80" s="47"/>
      <c r="C80" s="47"/>
      <c r="D80" s="47"/>
      <c r="E80" s="47"/>
    </row>
    <row r="81" spans="2:5" x14ac:dyDescent="0.3">
      <c r="B81" s="47"/>
      <c r="C81" s="47"/>
      <c r="D81" s="47"/>
      <c r="E81" s="47"/>
    </row>
    <row r="82" spans="2:5" x14ac:dyDescent="0.3">
      <c r="B82" s="47"/>
      <c r="C82" s="47"/>
      <c r="D82" s="47"/>
      <c r="E82" s="47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5 J20:K23 C24:E25 G24:K25 J26:K28 C29:K29 K30 C32:K32 F37:F39 J37:K39 C41:K42 F43:F52 J43:K46 C47:E48 G47:K48 K49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K84"/>
  <sheetViews>
    <sheetView showGridLines="0" topLeftCell="A10" zoomScale="60" zoomScaleNormal="60" workbookViewId="0">
      <selection activeCell="G71" sqref="G71"/>
    </sheetView>
  </sheetViews>
  <sheetFormatPr defaultRowHeight="18.75" x14ac:dyDescent="0.3"/>
  <cols>
    <col min="1" max="1" width="3" style="34" customWidth="1"/>
    <col min="2" max="2" width="76.28515625" style="34" customWidth="1"/>
    <col min="3" max="10" width="22.7109375" style="34" customWidth="1"/>
    <col min="11" max="11" width="27.140625" style="34" customWidth="1"/>
    <col min="12" max="19" width="22.7109375" style="34" customWidth="1"/>
    <col min="20" max="20" width="16.140625" style="34" customWidth="1"/>
    <col min="21" max="21" width="14.5703125" style="34" customWidth="1"/>
    <col min="22" max="22" width="17" style="34" customWidth="1"/>
    <col min="23" max="23" width="14.42578125" style="2" customWidth="1"/>
    <col min="24" max="1025" width="9.140625" style="34" customWidth="1"/>
  </cols>
  <sheetData>
    <row r="1" spans="1:23" x14ac:dyDescent="0.3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102"/>
    </row>
    <row r="2" spans="1:23" ht="12.75" customHeight="1" x14ac:dyDescent="0.3">
      <c r="A2" s="71"/>
      <c r="B2" s="71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5"/>
      <c r="U2" s="5"/>
      <c r="V2" s="118"/>
      <c r="W2" s="102"/>
    </row>
    <row r="3" spans="1:23" ht="12.75" customHeight="1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16"/>
      <c r="U3" s="116"/>
      <c r="W3" s="102"/>
    </row>
    <row r="4" spans="1:23" ht="12.7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116"/>
      <c r="U4" s="116"/>
      <c r="W4" s="102"/>
    </row>
    <row r="5" spans="1:23" ht="12.7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116"/>
      <c r="U5" s="116"/>
      <c r="W5" s="102"/>
    </row>
    <row r="6" spans="1:23" ht="12.75" customHeight="1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117"/>
      <c r="U6" s="117"/>
      <c r="V6" s="116"/>
      <c r="W6" s="102"/>
    </row>
    <row r="7" spans="1:23" ht="13.15" customHeight="1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102"/>
    </row>
    <row r="8" spans="1:23" ht="31.5" customHeight="1" x14ac:dyDescent="0.3">
      <c r="A8" s="71"/>
      <c r="B8" s="114" t="s">
        <v>1</v>
      </c>
      <c r="C8" s="115" t="s">
        <v>43</v>
      </c>
      <c r="D8" s="115"/>
      <c r="E8" s="115"/>
      <c r="F8" s="115"/>
      <c r="G8" s="115"/>
      <c r="H8" s="115"/>
      <c r="I8" s="115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9"/>
      <c r="W8" s="102"/>
    </row>
    <row r="9" spans="1:23" ht="19.5" customHeight="1" x14ac:dyDescent="0.3">
      <c r="A9" s="71"/>
      <c r="B9" s="113" t="s">
        <v>41</v>
      </c>
      <c r="C9" s="113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102"/>
    </row>
    <row r="10" spans="1:23" ht="13.15" customHeight="1" x14ac:dyDescent="0.3">
      <c r="A10" s="71"/>
      <c r="B10" s="112"/>
      <c r="C10" s="11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02"/>
    </row>
    <row r="11" spans="1:23" ht="19.5" thickBot="1" x14ac:dyDescent="0.35">
      <c r="A11" s="71"/>
      <c r="B11" s="111">
        <v>19922825.379999999</v>
      </c>
      <c r="C11" s="110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3"/>
      <c r="V11" s="108"/>
      <c r="W11" s="102"/>
    </row>
    <row r="12" spans="1:23" s="34" customFormat="1" ht="18.75" customHeight="1" thickTop="1" x14ac:dyDescent="0.3">
      <c r="A12" s="71"/>
      <c r="B12" s="101" t="s">
        <v>2</v>
      </c>
      <c r="C12" s="100" t="s">
        <v>3</v>
      </c>
      <c r="D12" s="100"/>
      <c r="E12" s="100"/>
      <c r="F12" s="100"/>
      <c r="G12" s="100"/>
      <c r="H12" s="100"/>
      <c r="I12" s="100"/>
      <c r="J12" s="100"/>
      <c r="K12" s="100"/>
    </row>
    <row r="13" spans="1:23" s="34" customFormat="1" x14ac:dyDescent="0.3">
      <c r="A13" s="71"/>
      <c r="B13" s="99" t="s">
        <v>4</v>
      </c>
      <c r="C13" s="107" t="s">
        <v>5</v>
      </c>
      <c r="D13" s="98" t="s">
        <v>6</v>
      </c>
      <c r="E13" s="98" t="s">
        <v>7</v>
      </c>
      <c r="F13" s="97" t="s">
        <v>8</v>
      </c>
      <c r="G13" s="98" t="s">
        <v>9</v>
      </c>
      <c r="H13" s="98" t="s">
        <v>10</v>
      </c>
      <c r="I13" s="98" t="s">
        <v>11</v>
      </c>
      <c r="J13" s="97" t="s">
        <v>12</v>
      </c>
      <c r="K13" s="96" t="s">
        <v>13</v>
      </c>
    </row>
    <row r="14" spans="1:23" s="34" customFormat="1" x14ac:dyDescent="0.3">
      <c r="A14" s="71"/>
      <c r="B14" s="90" t="s">
        <v>14</v>
      </c>
      <c r="C14" s="21">
        <f>B11*22.48%</f>
        <v>4478651.145424</v>
      </c>
      <c r="D14" s="21">
        <f>B11*14.91%</f>
        <v>2970493.2641580002</v>
      </c>
      <c r="E14" s="21">
        <f>B11*21.43%</f>
        <v>4269461.4789339993</v>
      </c>
      <c r="F14" s="92">
        <f>SUM(C14:E14)</f>
        <v>11718605.888516</v>
      </c>
      <c r="G14" s="89">
        <f>B11*5.74%</f>
        <v>1143570.1768119999</v>
      </c>
      <c r="H14" s="89">
        <f>B11*6.21%</f>
        <v>1237207.4560980001</v>
      </c>
      <c r="I14" s="89">
        <f>B11*5.13%</f>
        <v>1022040.9419939999</v>
      </c>
      <c r="J14" s="92">
        <f>SUM(G14:I14)</f>
        <v>3402818.5749039999</v>
      </c>
      <c r="K14" s="81">
        <f>SUM(J14,F14)</f>
        <v>15121424.46342</v>
      </c>
    </row>
    <row r="15" spans="1:23" s="34" customFormat="1" x14ac:dyDescent="0.3">
      <c r="A15" s="71"/>
      <c r="B15" s="90" t="s">
        <v>15</v>
      </c>
      <c r="C15" s="21">
        <v>0</v>
      </c>
      <c r="D15" s="21">
        <v>0</v>
      </c>
      <c r="E15" s="21">
        <v>0</v>
      </c>
      <c r="F15" s="92">
        <f>SUM(C15:E15)</f>
        <v>0</v>
      </c>
      <c r="G15" s="89">
        <v>0</v>
      </c>
      <c r="H15" s="89">
        <v>0</v>
      </c>
      <c r="I15" s="89">
        <v>0</v>
      </c>
      <c r="J15" s="92">
        <f>SUM(G15:I15)</f>
        <v>0</v>
      </c>
      <c r="K15" s="81">
        <f>SUM(J15,F15)</f>
        <v>0</v>
      </c>
    </row>
    <row r="16" spans="1:23" s="34" customFormat="1" x14ac:dyDescent="0.3">
      <c r="A16" s="71"/>
      <c r="B16" s="90" t="s">
        <v>42</v>
      </c>
      <c r="C16" s="21">
        <v>0</v>
      </c>
      <c r="D16" s="21">
        <v>0</v>
      </c>
      <c r="E16" s="21">
        <v>0</v>
      </c>
      <c r="F16" s="92">
        <f>SUM(C16:E16)</f>
        <v>0</v>
      </c>
      <c r="G16" s="89">
        <v>0</v>
      </c>
      <c r="H16" s="89">
        <v>0</v>
      </c>
      <c r="I16" s="89">
        <v>0</v>
      </c>
      <c r="J16" s="92">
        <f>SUM(G16:I16)</f>
        <v>0</v>
      </c>
      <c r="K16" s="81">
        <f>SUM(J16,F16)</f>
        <v>0</v>
      </c>
    </row>
    <row r="17" spans="1:11" s="34" customFormat="1" x14ac:dyDescent="0.3">
      <c r="A17" s="71"/>
      <c r="B17" s="84" t="s">
        <v>16</v>
      </c>
      <c r="C17" s="83">
        <f>SUM(C14:C16)</f>
        <v>4478651.145424</v>
      </c>
      <c r="D17" s="83">
        <f>SUM(D14:D16)</f>
        <v>2970493.2641580002</v>
      </c>
      <c r="E17" s="83">
        <f>SUM(E14:E16)</f>
        <v>4269461.4789339993</v>
      </c>
      <c r="F17" s="92">
        <f>SUM(C17:E17)</f>
        <v>11718605.888516</v>
      </c>
      <c r="G17" s="83">
        <f>SUM(G14:G16)</f>
        <v>1143570.1768119999</v>
      </c>
      <c r="H17" s="83">
        <f>SUM(H14:H16)</f>
        <v>1237207.4560980001</v>
      </c>
      <c r="I17" s="83">
        <f>SUM(I14:I16)</f>
        <v>1022040.9419939999</v>
      </c>
      <c r="J17" s="92">
        <f>SUM(G17:I17)</f>
        <v>3402818.5749039999</v>
      </c>
      <c r="K17" s="81">
        <f>F17+J17</f>
        <v>15121424.46342</v>
      </c>
    </row>
    <row r="18" spans="1:11" s="30" customFormat="1" x14ac:dyDescent="0.3">
      <c r="A18" s="71"/>
      <c r="B18" s="80" t="s">
        <v>17</v>
      </c>
      <c r="C18" s="79">
        <f>C17/$K$57</f>
        <v>8.9830039638600506E-2</v>
      </c>
      <c r="D18" s="79">
        <f>D17/$K$57</f>
        <v>5.9580333230050429E-2</v>
      </c>
      <c r="E18" s="79">
        <f>E17/$K$57</f>
        <v>8.5634241523808205E-2</v>
      </c>
      <c r="F18" s="78">
        <f>F17/$K$57</f>
        <v>0.23504461439245913</v>
      </c>
      <c r="G18" s="79">
        <f>G17/$K$57</f>
        <v>2.2937029694197815E-2</v>
      </c>
      <c r="H18" s="79">
        <f>H17/$K$57</f>
        <v>2.4815148850342934E-2</v>
      </c>
      <c r="I18" s="79">
        <f>I17/$K$57</f>
        <v>2.0499470789413724E-2</v>
      </c>
      <c r="J18" s="78">
        <f>J17/$K$57</f>
        <v>6.8251649333954473E-2</v>
      </c>
      <c r="K18" s="95">
        <f>K17/$K$57</f>
        <v>0.30329626372641361</v>
      </c>
    </row>
    <row r="19" spans="1:11" s="34" customFormat="1" ht="24.95" customHeight="1" x14ac:dyDescent="0.3">
      <c r="A19" s="71"/>
      <c r="B19" s="87" t="s">
        <v>18</v>
      </c>
      <c r="C19" s="93">
        <f>C20+C21+C22+C23+C24</f>
        <v>1649167.2641666667</v>
      </c>
      <c r="D19" s="93">
        <f>D20+D21+D22+D23+D24</f>
        <v>1649167.2641666667</v>
      </c>
      <c r="E19" s="93">
        <f>E20+E21+E22+E23+E24</f>
        <v>1649167.2641666667</v>
      </c>
      <c r="F19" s="92">
        <f>SUM(C19:E19)</f>
        <v>4947501.7925000004</v>
      </c>
      <c r="G19" s="93">
        <f>G20+G21+G22+G23+G24</f>
        <v>1649167.2641666667</v>
      </c>
      <c r="H19" s="93">
        <f>H20+H21+H22+H23+H24</f>
        <v>1649167.2641666667</v>
      </c>
      <c r="I19" s="93">
        <f>I20+I21+I22+I23+I24</f>
        <v>1649167.2641666667</v>
      </c>
      <c r="J19" s="92">
        <f>SUM(G19:I19)</f>
        <v>4947501.7925000004</v>
      </c>
      <c r="K19" s="81">
        <f>SUM(J19,F19,)</f>
        <v>9895003.5850000009</v>
      </c>
    </row>
    <row r="20" spans="1:11" s="34" customFormat="1" ht="20.100000000000001" customHeight="1" x14ac:dyDescent="0.3">
      <c r="A20" s="71"/>
      <c r="B20" s="90" t="s">
        <v>19</v>
      </c>
      <c r="C20" s="89">
        <f>C60/12</f>
        <v>515842.02583333332</v>
      </c>
      <c r="D20" s="89">
        <f>C60/12</f>
        <v>515842.02583333332</v>
      </c>
      <c r="E20" s="89">
        <f>C60/12</f>
        <v>515842.02583333332</v>
      </c>
      <c r="F20" s="85">
        <f>SUM(C20:E20)</f>
        <v>1547526.0774999999</v>
      </c>
      <c r="G20" s="89">
        <f>$E$20</f>
        <v>515842.02583333332</v>
      </c>
      <c r="H20" s="89">
        <f>$E$20</f>
        <v>515842.02583333332</v>
      </c>
      <c r="I20" s="89">
        <f>$E$20</f>
        <v>515842.02583333332</v>
      </c>
      <c r="J20" s="88">
        <f>SUM(G20:I20)</f>
        <v>1547526.0774999999</v>
      </c>
      <c r="K20" s="91">
        <f>SUM(J20,F20,)</f>
        <v>3095052.1549999998</v>
      </c>
    </row>
    <row r="21" spans="1:11" s="34" customFormat="1" ht="20.100000000000001" customHeight="1" x14ac:dyDescent="0.3">
      <c r="A21" s="71"/>
      <c r="B21" s="90" t="s">
        <v>40</v>
      </c>
      <c r="C21" s="89">
        <f>C61/12</f>
        <v>0</v>
      </c>
      <c r="D21" s="89">
        <f>$C$21</f>
        <v>0</v>
      </c>
      <c r="E21" s="89">
        <f>$C$21</f>
        <v>0</v>
      </c>
      <c r="F21" s="85">
        <f>SUM(C21:E21)</f>
        <v>0</v>
      </c>
      <c r="G21" s="89">
        <f>$C$21</f>
        <v>0</v>
      </c>
      <c r="H21" s="89">
        <f>$C$21</f>
        <v>0</v>
      </c>
      <c r="I21" s="89">
        <f>$C$21</f>
        <v>0</v>
      </c>
      <c r="J21" s="88">
        <f>SUM(G21:I21)</f>
        <v>0</v>
      </c>
      <c r="K21" s="81">
        <f>SUM(J21,F21,)</f>
        <v>0</v>
      </c>
    </row>
    <row r="22" spans="1:11" s="34" customFormat="1" ht="20.100000000000001" customHeight="1" x14ac:dyDescent="0.3">
      <c r="A22" s="71"/>
      <c r="B22" s="90" t="s">
        <v>20</v>
      </c>
      <c r="C22" s="89">
        <f>C62/12</f>
        <v>28484.139166666664</v>
      </c>
      <c r="D22" s="89">
        <f>$C$22</f>
        <v>28484.139166666664</v>
      </c>
      <c r="E22" s="89">
        <f>$C$22</f>
        <v>28484.139166666664</v>
      </c>
      <c r="F22" s="85">
        <f>SUM(C22:E22)</f>
        <v>85452.417499999996</v>
      </c>
      <c r="G22" s="89">
        <f>$C$22</f>
        <v>28484.139166666664</v>
      </c>
      <c r="H22" s="89">
        <f>$C$22</f>
        <v>28484.139166666664</v>
      </c>
      <c r="I22" s="89">
        <f>$C$22</f>
        <v>28484.139166666664</v>
      </c>
      <c r="J22" s="88">
        <f>SUM(G22:I22)</f>
        <v>85452.417499999996</v>
      </c>
      <c r="K22" s="81">
        <f>SUM(J22,F22,)</f>
        <v>170904.83499999999</v>
      </c>
    </row>
    <row r="23" spans="1:11" s="34" customFormat="1" ht="20.100000000000001" customHeight="1" x14ac:dyDescent="0.3">
      <c r="B23" s="90" t="s">
        <v>21</v>
      </c>
      <c r="C23" s="89">
        <f>C63/12</f>
        <v>28484.139166666664</v>
      </c>
      <c r="D23" s="89">
        <f>$C$23</f>
        <v>28484.139166666664</v>
      </c>
      <c r="E23" s="89">
        <f>$C$23</f>
        <v>28484.139166666664</v>
      </c>
      <c r="F23" s="85">
        <f>SUM(C23:E23)</f>
        <v>85452.417499999996</v>
      </c>
      <c r="G23" s="89">
        <f>$C$23</f>
        <v>28484.139166666664</v>
      </c>
      <c r="H23" s="89">
        <f>$C$23</f>
        <v>28484.139166666664</v>
      </c>
      <c r="I23" s="89">
        <f>$C$23</f>
        <v>28484.139166666664</v>
      </c>
      <c r="J23" s="88">
        <f>SUM(G23:I23)</f>
        <v>85452.417499999996</v>
      </c>
      <c r="K23" s="81">
        <f>SUM(J23,F23,)</f>
        <v>170904.83499999999</v>
      </c>
    </row>
    <row r="24" spans="1:11" s="34" customFormat="1" ht="20.100000000000001" customHeight="1" x14ac:dyDescent="0.3">
      <c r="B24" s="90" t="s">
        <v>22</v>
      </c>
      <c r="C24" s="89">
        <f>C64/12</f>
        <v>1076356.96</v>
      </c>
      <c r="D24" s="89">
        <f>$C$24</f>
        <v>1076356.96</v>
      </c>
      <c r="E24" s="89">
        <f>$C$24</f>
        <v>1076356.96</v>
      </c>
      <c r="F24" s="85">
        <f>SUM(C24:E24)</f>
        <v>3229070.88</v>
      </c>
      <c r="G24" s="89">
        <f>$C$24</f>
        <v>1076356.96</v>
      </c>
      <c r="H24" s="89">
        <f>$C$24</f>
        <v>1076356.96</v>
      </c>
      <c r="I24" s="89">
        <f>$C$24</f>
        <v>1076356.96</v>
      </c>
      <c r="J24" s="88">
        <f>SUM(G24:I24)</f>
        <v>3229070.88</v>
      </c>
      <c r="K24" s="81">
        <f>SUM(J24,F24)</f>
        <v>6458141.7599999998</v>
      </c>
    </row>
    <row r="25" spans="1:11" s="34" customFormat="1" ht="24.95" customHeight="1" x14ac:dyDescent="0.3">
      <c r="A25" s="71"/>
      <c r="B25" s="87" t="s">
        <v>23</v>
      </c>
      <c r="C25" s="86">
        <f>C26+C29</f>
        <v>124655.34916666667</v>
      </c>
      <c r="D25" s="86">
        <f>D26</f>
        <v>124655.34916666667</v>
      </c>
      <c r="E25" s="86">
        <f>E26</f>
        <v>124655.34916666667</v>
      </c>
      <c r="F25" s="85">
        <f>SUM(C25:E25)</f>
        <v>373966.04749999999</v>
      </c>
      <c r="G25" s="86">
        <f>G26</f>
        <v>124655.34916666667</v>
      </c>
      <c r="H25" s="86">
        <f>H26</f>
        <v>124655.34916666667</v>
      </c>
      <c r="I25" s="86">
        <f>I26</f>
        <v>124655.34916666667</v>
      </c>
      <c r="J25" s="85">
        <f>SUM(G25:I25)</f>
        <v>373966.04749999999</v>
      </c>
      <c r="K25" s="81">
        <f>SUM(J25,F25,)</f>
        <v>747932.09499999997</v>
      </c>
    </row>
    <row r="26" spans="1:11" s="34" customFormat="1" ht="20.100000000000001" customHeight="1" x14ac:dyDescent="0.3">
      <c r="A26" s="71"/>
      <c r="B26" s="90" t="s">
        <v>24</v>
      </c>
      <c r="C26" s="89">
        <f>SUM(C27:C28)</f>
        <v>124655.34916666667</v>
      </c>
      <c r="D26" s="89">
        <f>SUM(D27:D29)</f>
        <v>124655.34916666667</v>
      </c>
      <c r="E26" s="89">
        <f>SUM(E27:E29)</f>
        <v>124655.34916666667</v>
      </c>
      <c r="F26" s="88">
        <f>SUM(C26:E26)</f>
        <v>373966.04749999999</v>
      </c>
      <c r="G26" s="89">
        <f>SUM(G27:G29)</f>
        <v>124655.34916666667</v>
      </c>
      <c r="H26" s="89">
        <f>SUM(H27:H29)</f>
        <v>124655.34916666667</v>
      </c>
      <c r="I26" s="89">
        <f>SUM(I27:I29)</f>
        <v>124655.34916666667</v>
      </c>
      <c r="J26" s="88">
        <f>SUM(G26:I26)</f>
        <v>373966.04749999999</v>
      </c>
      <c r="K26" s="91">
        <f>SUM(J26,F26)</f>
        <v>747932.09499999997</v>
      </c>
    </row>
    <row r="27" spans="1:11" s="34" customFormat="1" ht="20.100000000000001" customHeight="1" x14ac:dyDescent="0.3">
      <c r="B27" s="90" t="s">
        <v>25</v>
      </c>
      <c r="C27" s="89">
        <v>0</v>
      </c>
      <c r="D27" s="89">
        <v>0</v>
      </c>
      <c r="E27" s="89">
        <v>0</v>
      </c>
      <c r="F27" s="88">
        <v>0</v>
      </c>
      <c r="G27" s="89">
        <v>0</v>
      </c>
      <c r="H27" s="89">
        <v>0</v>
      </c>
      <c r="I27" s="89">
        <v>0</v>
      </c>
      <c r="J27" s="85">
        <f>SUM(G27:I27)</f>
        <v>0</v>
      </c>
      <c r="K27" s="81">
        <f>SUM(J27,F27)</f>
        <v>0</v>
      </c>
    </row>
    <row r="28" spans="1:11" s="34" customFormat="1" ht="20.100000000000001" customHeight="1" x14ac:dyDescent="0.3">
      <c r="B28" s="90" t="s">
        <v>26</v>
      </c>
      <c r="C28" s="89">
        <f>C66/12</f>
        <v>124655.34916666667</v>
      </c>
      <c r="D28" s="89">
        <f>$C$28</f>
        <v>124655.34916666667</v>
      </c>
      <c r="E28" s="89">
        <f>$C$28</f>
        <v>124655.34916666667</v>
      </c>
      <c r="F28" s="88">
        <v>0</v>
      </c>
      <c r="G28" s="89">
        <f>$C$28</f>
        <v>124655.34916666667</v>
      </c>
      <c r="H28" s="89">
        <f>$C$28</f>
        <v>124655.34916666667</v>
      </c>
      <c r="I28" s="89">
        <f>$C$28</f>
        <v>124655.34916666667</v>
      </c>
      <c r="J28" s="85">
        <f>SUM(G28:I28)</f>
        <v>373966.04749999999</v>
      </c>
      <c r="K28" s="81">
        <f>SUM(J28,F28)</f>
        <v>373966.04749999999</v>
      </c>
    </row>
    <row r="29" spans="1:11" s="34" customFormat="1" ht="20.100000000000001" customHeight="1" x14ac:dyDescent="0.3">
      <c r="B29" s="90" t="s">
        <v>27</v>
      </c>
      <c r="C29" s="89">
        <v>0</v>
      </c>
      <c r="D29" s="89">
        <v>0</v>
      </c>
      <c r="E29" s="89">
        <v>0</v>
      </c>
      <c r="F29" s="88">
        <v>0</v>
      </c>
      <c r="G29" s="89">
        <v>0</v>
      </c>
      <c r="H29" s="89">
        <v>0</v>
      </c>
      <c r="I29" s="89">
        <v>0</v>
      </c>
      <c r="J29" s="85">
        <f>SUM(G29:I29)</f>
        <v>0</v>
      </c>
      <c r="K29" s="81">
        <f>SUM(J29,F29)</f>
        <v>0</v>
      </c>
    </row>
    <row r="30" spans="1:11" s="34" customFormat="1" ht="24.95" customHeight="1" x14ac:dyDescent="0.3">
      <c r="A30" s="71"/>
      <c r="B30" s="87" t="s">
        <v>28</v>
      </c>
      <c r="C30" s="86">
        <v>0</v>
      </c>
      <c r="D30" s="86">
        <v>0</v>
      </c>
      <c r="E30" s="86">
        <v>0</v>
      </c>
      <c r="F30" s="85">
        <f>SUM(C30:E30)</f>
        <v>0</v>
      </c>
      <c r="G30" s="86">
        <v>0</v>
      </c>
      <c r="H30" s="86">
        <v>0</v>
      </c>
      <c r="I30" s="86">
        <v>0</v>
      </c>
      <c r="J30" s="85">
        <f>SUM(G30:I30)</f>
        <v>0</v>
      </c>
      <c r="K30" s="81">
        <f>SUM(J30,F30)</f>
        <v>0</v>
      </c>
    </row>
    <row r="31" spans="1:11" s="34" customFormat="1" ht="20.100000000000001" customHeight="1" x14ac:dyDescent="0.3">
      <c r="B31" s="84" t="s">
        <v>29</v>
      </c>
      <c r="C31" s="83">
        <f>C19+C25</f>
        <v>1773822.6133333333</v>
      </c>
      <c r="D31" s="83">
        <f>D19+D25</f>
        <v>1773822.6133333333</v>
      </c>
      <c r="E31" s="83">
        <f>E19+E25</f>
        <v>1773822.6133333333</v>
      </c>
      <c r="F31" s="82">
        <f>F19+F25+F30</f>
        <v>5321467.8400000008</v>
      </c>
      <c r="G31" s="83">
        <f>G19+G25</f>
        <v>1773822.6133333333</v>
      </c>
      <c r="H31" s="83">
        <f>H19+H25</f>
        <v>1773822.6133333333</v>
      </c>
      <c r="I31" s="83">
        <f>I19+I25</f>
        <v>1773822.6133333333</v>
      </c>
      <c r="J31" s="82">
        <f>J19+J25+F30</f>
        <v>5321467.8400000008</v>
      </c>
      <c r="K31" s="81">
        <f>SUM(J31,F31)</f>
        <v>10642935.680000002</v>
      </c>
    </row>
    <row r="32" spans="1:11" s="30" customFormat="1" ht="19.5" thickBot="1" x14ac:dyDescent="0.35">
      <c r="A32" s="71"/>
      <c r="B32" s="80" t="s">
        <v>17</v>
      </c>
      <c r="C32" s="79" t="e">
        <f>C31/$K$71</f>
        <v>#DIV/0!</v>
      </c>
      <c r="D32" s="79" t="e">
        <f>D31/$K$71</f>
        <v>#DIV/0!</v>
      </c>
      <c r="E32" s="79" t="e">
        <f>E31/$K$71</f>
        <v>#DIV/0!</v>
      </c>
      <c r="F32" s="78" t="e">
        <f>F31/$K$71</f>
        <v>#DIV/0!</v>
      </c>
      <c r="G32" s="79" t="e">
        <f>G31/$K$71</f>
        <v>#DIV/0!</v>
      </c>
      <c r="H32" s="79" t="e">
        <f>H31/$K$71</f>
        <v>#DIV/0!</v>
      </c>
      <c r="I32" s="79" t="e">
        <f>I31/$K$71</f>
        <v>#DIV/0!</v>
      </c>
      <c r="J32" s="78" t="e">
        <f>J31/$K$71</f>
        <v>#DIV/0!</v>
      </c>
      <c r="K32" s="77" t="e">
        <f>K31/$K$71</f>
        <v>#DIV/0!</v>
      </c>
    </row>
    <row r="33" spans="1:23" s="34" customFormat="1" ht="24.95" customHeight="1" thickTop="1" thickBot="1" x14ac:dyDescent="0.35">
      <c r="A33" s="71"/>
      <c r="B33" s="76" t="s">
        <v>30</v>
      </c>
      <c r="C33" s="75">
        <f>C17-C31</f>
        <v>2704828.5320906667</v>
      </c>
      <c r="D33" s="75">
        <f>(C33+D17)-D31</f>
        <v>3901499.1829153337</v>
      </c>
      <c r="E33" s="75">
        <f>(D33+E17)-E31</f>
        <v>6397138.0485159997</v>
      </c>
      <c r="F33" s="92">
        <f>SUM(C33:E33)</f>
        <v>13003465.763521999</v>
      </c>
      <c r="G33" s="75">
        <f>(E33+G17)-G31</f>
        <v>5766885.611994666</v>
      </c>
      <c r="H33" s="75">
        <f>(G33+H17)-H31</f>
        <v>5230270.4547593333</v>
      </c>
      <c r="I33" s="75">
        <f>(H33+I17)-I31</f>
        <v>4478488.7834200002</v>
      </c>
      <c r="J33" s="92">
        <f>SUM(G33:I33)</f>
        <v>15475644.850173999</v>
      </c>
      <c r="K33" s="73">
        <f>SUM(J33,F33)</f>
        <v>28479110.613695998</v>
      </c>
    </row>
    <row r="34" spans="1:23" s="30" customFormat="1" ht="19.5" thickTop="1" x14ac:dyDescent="0.3">
      <c r="A34" s="105"/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5"/>
      <c r="V34" s="105"/>
      <c r="W34" s="105"/>
    </row>
    <row r="35" spans="1:23" s="34" customFormat="1" ht="19.5" thickBot="1" x14ac:dyDescent="0.35">
      <c r="A35" s="71"/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3"/>
      <c r="T35" s="71"/>
      <c r="U35" s="71"/>
      <c r="V35" s="102"/>
    </row>
    <row r="36" spans="1:23" s="34" customFormat="1" ht="19.5" thickTop="1" x14ac:dyDescent="0.3">
      <c r="A36" s="71"/>
      <c r="B36" s="101" t="s">
        <v>2</v>
      </c>
      <c r="C36" s="100" t="s">
        <v>3</v>
      </c>
      <c r="D36" s="100"/>
      <c r="E36" s="100"/>
      <c r="F36" s="100"/>
      <c r="G36" s="100"/>
      <c r="H36" s="100"/>
      <c r="I36" s="100"/>
      <c r="J36" s="100"/>
      <c r="K36" s="100"/>
      <c r="L36" s="43"/>
      <c r="M36" s="43"/>
      <c r="N36" s="43"/>
      <c r="O36" s="43"/>
      <c r="P36" s="43"/>
      <c r="Q36" s="43"/>
      <c r="R36" s="43"/>
      <c r="T36" s="71"/>
      <c r="U36" s="71"/>
      <c r="V36" s="2"/>
    </row>
    <row r="37" spans="1:23" s="34" customFormat="1" x14ac:dyDescent="0.3">
      <c r="A37" s="71"/>
      <c r="B37" s="99" t="s">
        <v>4</v>
      </c>
      <c r="C37" s="98" t="s">
        <v>31</v>
      </c>
      <c r="D37" s="98" t="s">
        <v>32</v>
      </c>
      <c r="E37" s="98" t="s">
        <v>33</v>
      </c>
      <c r="F37" s="97" t="s">
        <v>34</v>
      </c>
      <c r="G37" s="98" t="s">
        <v>35</v>
      </c>
      <c r="H37" s="98" t="s">
        <v>36</v>
      </c>
      <c r="I37" s="98" t="s">
        <v>37</v>
      </c>
      <c r="J37" s="97" t="s">
        <v>38</v>
      </c>
      <c r="K37" s="96" t="s">
        <v>39</v>
      </c>
      <c r="L37" s="43"/>
      <c r="M37" s="43"/>
      <c r="N37" s="43"/>
      <c r="O37" s="43"/>
      <c r="P37" s="43"/>
      <c r="Q37" s="43"/>
      <c r="R37" s="43"/>
      <c r="T37" s="71"/>
      <c r="U37" s="71"/>
      <c r="V37" s="2"/>
    </row>
    <row r="38" spans="1:23" s="34" customFormat="1" x14ac:dyDescent="0.3">
      <c r="A38" s="71"/>
      <c r="B38" s="90" t="s">
        <v>14</v>
      </c>
      <c r="C38" s="89">
        <f>B11*5.23%</f>
        <v>1041963.767374</v>
      </c>
      <c r="D38" s="89">
        <f>B11*5.95%</f>
        <v>1185408.11011</v>
      </c>
      <c r="E38" s="89">
        <f>B11*4.76%</f>
        <v>948326.48808799987</v>
      </c>
      <c r="F38" s="92">
        <f>SUM(C38:E38)</f>
        <v>3175698.3655719999</v>
      </c>
      <c r="G38" s="89">
        <f>B11*2.34%</f>
        <v>466194.11389199994</v>
      </c>
      <c r="H38" s="89">
        <f>B11*2.33%</f>
        <v>464201.83135400002</v>
      </c>
      <c r="I38" s="89">
        <f>B11*3.49%</f>
        <v>695306.60576199996</v>
      </c>
      <c r="J38" s="92">
        <f>SUM(G38:I38)</f>
        <v>1625702.551008</v>
      </c>
      <c r="K38" s="81">
        <f>SUM(J38,F38,J14,F14)</f>
        <v>19922825.379999999</v>
      </c>
      <c r="L38" s="43"/>
      <c r="M38" s="43"/>
      <c r="N38" s="43"/>
      <c r="O38" s="43"/>
      <c r="P38" s="43"/>
      <c r="Q38" s="43"/>
      <c r="R38" s="43"/>
      <c r="T38" s="71"/>
      <c r="U38" s="71"/>
      <c r="V38" s="2"/>
    </row>
    <row r="39" spans="1:23" s="34" customFormat="1" x14ac:dyDescent="0.3">
      <c r="B39" s="90" t="s">
        <v>15</v>
      </c>
      <c r="C39" s="89">
        <v>0</v>
      </c>
      <c r="D39" s="89">
        <v>0</v>
      </c>
      <c r="E39" s="89">
        <v>0</v>
      </c>
      <c r="F39" s="92">
        <f>SUM(C39:E39)</f>
        <v>0</v>
      </c>
      <c r="G39" s="89">
        <v>0</v>
      </c>
      <c r="H39" s="89">
        <v>0</v>
      </c>
      <c r="I39" s="89">
        <v>0</v>
      </c>
      <c r="J39" s="92">
        <f>SUM(G39:I39)</f>
        <v>0</v>
      </c>
      <c r="K39" s="81">
        <f>SUM(J39,F39,J15,F15)</f>
        <v>0</v>
      </c>
      <c r="L39" s="43"/>
      <c r="M39" s="43"/>
      <c r="N39" s="43"/>
      <c r="O39" s="43"/>
      <c r="P39" s="43"/>
      <c r="Q39" s="43"/>
      <c r="R39" s="43"/>
      <c r="T39" s="71"/>
      <c r="U39" s="71"/>
      <c r="V39" s="2"/>
    </row>
    <row r="40" spans="1:23" s="34" customFormat="1" x14ac:dyDescent="0.3">
      <c r="B40" s="90" t="s">
        <v>42</v>
      </c>
      <c r="C40" s="89">
        <v>0</v>
      </c>
      <c r="D40" s="89">
        <v>2849926.66</v>
      </c>
      <c r="E40" s="89">
        <v>0</v>
      </c>
      <c r="F40" s="92">
        <f>SUM(C40:E40)</f>
        <v>2849926.66</v>
      </c>
      <c r="G40" s="89"/>
      <c r="H40" s="89"/>
      <c r="I40" s="89"/>
      <c r="J40" s="92">
        <f>SUM(G40:I40)</f>
        <v>0</v>
      </c>
      <c r="K40" s="81">
        <f>SUM(J40,F40,J16,F16)</f>
        <v>2849926.66</v>
      </c>
      <c r="L40" s="43"/>
      <c r="M40" s="43"/>
      <c r="N40" s="43"/>
      <c r="O40" s="43"/>
      <c r="P40" s="43"/>
      <c r="Q40" s="43"/>
      <c r="R40" s="43"/>
      <c r="T40" s="71"/>
      <c r="U40" s="71"/>
      <c r="V40" s="2"/>
    </row>
    <row r="41" spans="1:23" x14ac:dyDescent="0.3">
      <c r="B41" s="84" t="s">
        <v>16</v>
      </c>
      <c r="C41" s="83">
        <f>SUM(C38:C40)</f>
        <v>1041963.767374</v>
      </c>
      <c r="D41" s="83">
        <f>SUM(D38:D40)</f>
        <v>4035334.7701099999</v>
      </c>
      <c r="E41" s="83">
        <f>SUM(E38:E40)</f>
        <v>948326.48808799987</v>
      </c>
      <c r="F41" s="92">
        <f>SUM(C41:E41)</f>
        <v>6025625.0255719991</v>
      </c>
      <c r="G41" s="83">
        <f>SUM(G38:G40)</f>
        <v>466194.11389199994</v>
      </c>
      <c r="H41" s="83">
        <f>SUM(H38:H40)</f>
        <v>464201.83135400002</v>
      </c>
      <c r="I41" s="83">
        <f>SUM(I38:I40)</f>
        <v>695306.60576199996</v>
      </c>
      <c r="J41" s="92">
        <f>SUM(G41:I41)</f>
        <v>1625702.551008</v>
      </c>
      <c r="K41" s="81">
        <f>SUM(J41,F41,J17,F17)</f>
        <v>22772752.039999999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3" ht="19.5" thickBot="1" x14ac:dyDescent="0.35">
      <c r="B42" s="80" t="s">
        <v>17</v>
      </c>
      <c r="C42" s="79">
        <f>C41/$K$57</f>
        <v>2.0899070609870136E-2</v>
      </c>
      <c r="D42" s="79">
        <f>D41/$K$57</f>
        <v>8.0938271498189288E-2</v>
      </c>
      <c r="E42" s="79">
        <f>E41/$K$57</f>
        <v>1.9020951453725017E-2</v>
      </c>
      <c r="F42" s="78">
        <f>F41/$K$57</f>
        <v>0.12085829356178443</v>
      </c>
      <c r="G42" s="79">
        <f>G41/$K$57</f>
        <v>9.3506357986799446E-3</v>
      </c>
      <c r="H42" s="79">
        <f>H41/$K$57</f>
        <v>9.3106758166343062E-3</v>
      </c>
      <c r="I42" s="79">
        <f>I41/$K$57</f>
        <v>1.3946033733928637E-2</v>
      </c>
      <c r="J42" s="78">
        <f>J41/$K$57</f>
        <v>3.2607345349242887E-2</v>
      </c>
      <c r="K42" s="95">
        <f>K41/$K$57</f>
        <v>0.45676190263744093</v>
      </c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62"/>
    </row>
    <row r="43" spans="1:23" x14ac:dyDescent="0.3">
      <c r="B43" s="87" t="s">
        <v>18</v>
      </c>
      <c r="C43" s="93">
        <f>C44+C45+C46+C47+C48</f>
        <v>1649167.2641666667</v>
      </c>
      <c r="D43" s="93">
        <f>D44+D45+D46+D47+D48</f>
        <v>1649167.2641666667</v>
      </c>
      <c r="E43" s="93">
        <f>E44+E45+E46+E47+E48</f>
        <v>1649167.2641666667</v>
      </c>
      <c r="F43" s="92">
        <f>SUM(C43:E43)</f>
        <v>4947501.7925000004</v>
      </c>
      <c r="G43" s="93">
        <f>G44+G45+G46+G47+G48</f>
        <v>1649167.2641666667</v>
      </c>
      <c r="H43" s="93">
        <f>H44+H45+H46+H47+H48</f>
        <v>1649167.2641666667</v>
      </c>
      <c r="I43" s="93">
        <f>I44+I45+I46+I47+I48</f>
        <v>1649167.2641666667</v>
      </c>
      <c r="J43" s="92">
        <f>SUM(G43:I43)</f>
        <v>4947501.7925000004</v>
      </c>
      <c r="K43" s="81">
        <f>SUM(J43,F43,J19,F19)</f>
        <v>19790007.170000002</v>
      </c>
    </row>
    <row r="44" spans="1:23" x14ac:dyDescent="0.3">
      <c r="B44" s="90" t="s">
        <v>19</v>
      </c>
      <c r="C44" s="89">
        <f>$E$20</f>
        <v>515842.02583333332</v>
      </c>
      <c r="D44" s="89">
        <f>$E$20</f>
        <v>515842.02583333332</v>
      </c>
      <c r="E44" s="89">
        <f>$E$20</f>
        <v>515842.02583333332</v>
      </c>
      <c r="F44" s="88">
        <f>SUM(C44:E44)</f>
        <v>1547526.0774999999</v>
      </c>
      <c r="G44" s="89">
        <f>$E$20</f>
        <v>515842.02583333332</v>
      </c>
      <c r="H44" s="89">
        <f>$E$20</f>
        <v>515842.02583333332</v>
      </c>
      <c r="I44" s="89">
        <f>$E$20</f>
        <v>515842.02583333332</v>
      </c>
      <c r="J44" s="88">
        <f>SUM(G44:I44)</f>
        <v>1547526.0774999999</v>
      </c>
      <c r="K44" s="91">
        <f>SUM(J44,F44,J20,F20)</f>
        <v>6190104.3099999996</v>
      </c>
    </row>
    <row r="45" spans="1:23" x14ac:dyDescent="0.3">
      <c r="B45" s="90" t="s">
        <v>40</v>
      </c>
      <c r="C45" s="89">
        <f>$C$21</f>
        <v>0</v>
      </c>
      <c r="D45" s="89">
        <f>$C$21</f>
        <v>0</v>
      </c>
      <c r="E45" s="89">
        <f>$C$21</f>
        <v>0</v>
      </c>
      <c r="F45" s="88">
        <f>SUM(C45:E45)</f>
        <v>0</v>
      </c>
      <c r="G45" s="89">
        <f>$C$21</f>
        <v>0</v>
      </c>
      <c r="H45" s="89">
        <f>$C$21</f>
        <v>0</v>
      </c>
      <c r="I45" s="89">
        <f>$C$21</f>
        <v>0</v>
      </c>
      <c r="J45" s="88">
        <f>SUM(G45:I45)</f>
        <v>0</v>
      </c>
      <c r="K45" s="81">
        <f>SUM(J45,F45,J21,F21)</f>
        <v>0</v>
      </c>
    </row>
    <row r="46" spans="1:23" x14ac:dyDescent="0.3">
      <c r="B46" s="90" t="s">
        <v>20</v>
      </c>
      <c r="C46" s="89">
        <f>$C$22</f>
        <v>28484.139166666664</v>
      </c>
      <c r="D46" s="89">
        <f>$C$22</f>
        <v>28484.139166666664</v>
      </c>
      <c r="E46" s="89">
        <f>$C$22</f>
        <v>28484.139166666664</v>
      </c>
      <c r="F46" s="88">
        <f>SUM(C46:E46)</f>
        <v>85452.417499999996</v>
      </c>
      <c r="G46" s="89">
        <f>$C$22</f>
        <v>28484.139166666664</v>
      </c>
      <c r="H46" s="89">
        <f>$C$22</f>
        <v>28484.139166666664</v>
      </c>
      <c r="I46" s="89">
        <f>$C$22</f>
        <v>28484.139166666664</v>
      </c>
      <c r="J46" s="88">
        <f>SUM(G46:I46)</f>
        <v>85452.417499999996</v>
      </c>
      <c r="K46" s="81">
        <f>SUM(J46,F46,J22,F22)</f>
        <v>341809.67</v>
      </c>
    </row>
    <row r="47" spans="1:23" x14ac:dyDescent="0.3">
      <c r="B47" s="90" t="s">
        <v>21</v>
      </c>
      <c r="C47" s="89">
        <f>$C$23</f>
        <v>28484.139166666664</v>
      </c>
      <c r="D47" s="89">
        <f>$C$23</f>
        <v>28484.139166666664</v>
      </c>
      <c r="E47" s="89">
        <f>$C$23</f>
        <v>28484.139166666664</v>
      </c>
      <c r="F47" s="88">
        <f>SUM(C47:E47)</f>
        <v>85452.417499999996</v>
      </c>
      <c r="G47" s="89">
        <f>$C$23</f>
        <v>28484.139166666664</v>
      </c>
      <c r="H47" s="89">
        <f>$C$23</f>
        <v>28484.139166666664</v>
      </c>
      <c r="I47" s="89">
        <f>$C$23</f>
        <v>28484.139166666664</v>
      </c>
      <c r="J47" s="88">
        <f>SUM(G47:I47)</f>
        <v>85452.417499999996</v>
      </c>
      <c r="K47" s="81">
        <f>SUM(J47,F47,J23,F23)</f>
        <v>341809.67</v>
      </c>
    </row>
    <row r="48" spans="1:23" x14ac:dyDescent="0.3">
      <c r="B48" s="90" t="s">
        <v>22</v>
      </c>
      <c r="C48" s="89">
        <f>$C$24</f>
        <v>1076356.96</v>
      </c>
      <c r="D48" s="89">
        <f>$C$24</f>
        <v>1076356.96</v>
      </c>
      <c r="E48" s="89">
        <f>$C$24</f>
        <v>1076356.96</v>
      </c>
      <c r="F48" s="88">
        <f>SUM(C48:E48)</f>
        <v>3229070.88</v>
      </c>
      <c r="G48" s="89">
        <f>$C$24</f>
        <v>1076356.96</v>
      </c>
      <c r="H48" s="89">
        <f>$C$24</f>
        <v>1076356.96</v>
      </c>
      <c r="I48" s="89">
        <f>$C$24</f>
        <v>1076356.96</v>
      </c>
      <c r="J48" s="88">
        <f>SUM(G48:I48)</f>
        <v>3229070.88</v>
      </c>
      <c r="K48" s="81">
        <f>SUM(J48,F48,J24,F24)</f>
        <v>12916283.52</v>
      </c>
    </row>
    <row r="49" spans="2:11" x14ac:dyDescent="0.3">
      <c r="B49" s="87" t="s">
        <v>23</v>
      </c>
      <c r="C49" s="86">
        <f>C50</f>
        <v>124655.34916666667</v>
      </c>
      <c r="D49" s="86">
        <f>D50</f>
        <v>124655.34916666667</v>
      </c>
      <c r="E49" s="86">
        <f>E50</f>
        <v>124655.34916666667</v>
      </c>
      <c r="F49" s="85">
        <f>SUM(C49:E49)</f>
        <v>373966.04749999999</v>
      </c>
      <c r="G49" s="86">
        <f>G50</f>
        <v>124655.34916666667</v>
      </c>
      <c r="H49" s="86">
        <f>H50</f>
        <v>124655.34916666667</v>
      </c>
      <c r="I49" s="86">
        <f>I50</f>
        <v>124655.34916666667</v>
      </c>
      <c r="J49" s="85">
        <f>SUM(G49:I49)</f>
        <v>373966.04749999999</v>
      </c>
      <c r="K49" s="81">
        <f>SUM(J49,F49,J25,F25)</f>
        <v>1495864.19</v>
      </c>
    </row>
    <row r="50" spans="2:11" x14ac:dyDescent="0.3">
      <c r="B50" s="90" t="s">
        <v>24</v>
      </c>
      <c r="C50" s="89">
        <f>SUM(C51:C53)</f>
        <v>124655.34916666667</v>
      </c>
      <c r="D50" s="89">
        <f>SUM(D51:D53)</f>
        <v>124655.34916666667</v>
      </c>
      <c r="E50" s="89">
        <f>SUM(E51:E53)</f>
        <v>124655.34916666667</v>
      </c>
      <c r="F50" s="88">
        <f>SUM(C50:E50)</f>
        <v>373966.04749999999</v>
      </c>
      <c r="G50" s="89">
        <f>C66/12</f>
        <v>124655.34916666667</v>
      </c>
      <c r="H50" s="89">
        <f>SUM(H51:H53)</f>
        <v>124655.34916666667</v>
      </c>
      <c r="I50" s="89">
        <f>SUM(I51:I53)</f>
        <v>124655.34916666667</v>
      </c>
      <c r="J50" s="88">
        <f>SUM(G50:I50)</f>
        <v>373966.04749999999</v>
      </c>
      <c r="K50" s="91">
        <f>SUM(J50,F50,J26,F26)</f>
        <v>1495864.19</v>
      </c>
    </row>
    <row r="51" spans="2:11" x14ac:dyDescent="0.3">
      <c r="B51" s="90" t="s">
        <v>25</v>
      </c>
      <c r="C51" s="89">
        <v>0</v>
      </c>
      <c r="D51" s="89">
        <v>0</v>
      </c>
      <c r="E51" s="89">
        <v>0</v>
      </c>
      <c r="F51" s="85">
        <f>SUM(C51:E51)</f>
        <v>0</v>
      </c>
      <c r="G51" s="89">
        <v>0</v>
      </c>
      <c r="H51" s="89">
        <v>0</v>
      </c>
      <c r="I51" s="89">
        <v>0</v>
      </c>
      <c r="J51" s="88">
        <v>0</v>
      </c>
      <c r="K51" s="81">
        <f>SUM(J51,F51,J27,F27)</f>
        <v>0</v>
      </c>
    </row>
    <row r="52" spans="2:11" x14ac:dyDescent="0.3">
      <c r="B52" s="90" t="s">
        <v>26</v>
      </c>
      <c r="C52" s="89">
        <f>$C$28</f>
        <v>124655.34916666667</v>
      </c>
      <c r="D52" s="89">
        <f>$C$28</f>
        <v>124655.34916666667</v>
      </c>
      <c r="E52" s="89">
        <f>$C$28</f>
        <v>124655.34916666667</v>
      </c>
      <c r="F52" s="85">
        <f>SUM(C52:E52)</f>
        <v>373966.04749999999</v>
      </c>
      <c r="G52" s="89">
        <f>$C$28</f>
        <v>124655.34916666667</v>
      </c>
      <c r="H52" s="89">
        <f>$C$28</f>
        <v>124655.34916666667</v>
      </c>
      <c r="I52" s="89">
        <f>$C$28</f>
        <v>124655.34916666667</v>
      </c>
      <c r="J52" s="88">
        <v>0</v>
      </c>
      <c r="K52" s="81">
        <f>SUM(J52,F52,J28,F28)</f>
        <v>747932.09499999997</v>
      </c>
    </row>
    <row r="53" spans="2:11" x14ac:dyDescent="0.3">
      <c r="B53" s="90" t="s">
        <v>27</v>
      </c>
      <c r="C53" s="89">
        <v>0</v>
      </c>
      <c r="D53" s="89">
        <v>0</v>
      </c>
      <c r="E53" s="89">
        <v>0</v>
      </c>
      <c r="F53" s="85">
        <f>SUM(C53:E53)</f>
        <v>0</v>
      </c>
      <c r="G53" s="89">
        <v>0</v>
      </c>
      <c r="H53" s="89">
        <v>0</v>
      </c>
      <c r="I53" s="89">
        <v>0</v>
      </c>
      <c r="J53" s="88">
        <v>0</v>
      </c>
      <c r="K53" s="81">
        <f>SUM(J53,F53,J29,F29)</f>
        <v>0</v>
      </c>
    </row>
    <row r="54" spans="2:11" x14ac:dyDescent="0.3">
      <c r="B54" s="87" t="s">
        <v>28</v>
      </c>
      <c r="C54" s="86">
        <v>0</v>
      </c>
      <c r="D54" s="86">
        <v>0</v>
      </c>
      <c r="E54" s="86">
        <v>0</v>
      </c>
      <c r="F54" s="85">
        <f>SUM(C54:E54)</f>
        <v>0</v>
      </c>
      <c r="G54" s="86">
        <v>0</v>
      </c>
      <c r="H54" s="86">
        <v>0</v>
      </c>
      <c r="I54" s="86">
        <f>C68</f>
        <v>1486880.68</v>
      </c>
      <c r="J54" s="85">
        <f>SUM(G54:I54)</f>
        <v>1486880.68</v>
      </c>
      <c r="K54" s="81">
        <f>SUM(J54,F54,J30,F30)</f>
        <v>1486880.68</v>
      </c>
    </row>
    <row r="55" spans="2:11" x14ac:dyDescent="0.3">
      <c r="B55" s="84" t="s">
        <v>29</v>
      </c>
      <c r="C55" s="83">
        <f>C43+C49</f>
        <v>1773822.6133333333</v>
      </c>
      <c r="D55" s="83">
        <f>D43+D49</f>
        <v>1773822.6133333333</v>
      </c>
      <c r="E55" s="83">
        <f>E43+E49</f>
        <v>1773822.6133333333</v>
      </c>
      <c r="F55" s="82">
        <f>F43+F49+F54</f>
        <v>5321467.8400000008</v>
      </c>
      <c r="G55" s="83">
        <f>G43+G49</f>
        <v>1773822.6133333333</v>
      </c>
      <c r="H55" s="83">
        <f>H43+H49</f>
        <v>1773822.6133333333</v>
      </c>
      <c r="I55" s="83">
        <f>I43+I49+I54</f>
        <v>3260703.293333333</v>
      </c>
      <c r="J55" s="82">
        <f>J43+J49+J54</f>
        <v>6808348.5200000005</v>
      </c>
      <c r="K55" s="81">
        <f>SUM(J55,F55,J31,F31)</f>
        <v>22772752.040000003</v>
      </c>
    </row>
    <row r="56" spans="2:11" ht="19.5" thickBot="1" x14ac:dyDescent="0.35">
      <c r="B56" s="80" t="s">
        <v>17</v>
      </c>
      <c r="C56" s="79" t="e">
        <f>C55/$K$71</f>
        <v>#DIV/0!</v>
      </c>
      <c r="D56" s="79" t="e">
        <f>D55/$K$71</f>
        <v>#DIV/0!</v>
      </c>
      <c r="E56" s="79" t="e">
        <f>E55/$K$71</f>
        <v>#DIV/0!</v>
      </c>
      <c r="F56" s="78" t="e">
        <f>F55/$K$71</f>
        <v>#DIV/0!</v>
      </c>
      <c r="G56" s="79" t="e">
        <f>G55/$K$71</f>
        <v>#DIV/0!</v>
      </c>
      <c r="H56" s="79" t="e">
        <f>H55/$K$71</f>
        <v>#DIV/0!</v>
      </c>
      <c r="I56" s="79" t="e">
        <f>I55/$K$71</f>
        <v>#DIV/0!</v>
      </c>
      <c r="J56" s="78" t="e">
        <f>J55/$K$71</f>
        <v>#DIV/0!</v>
      </c>
      <c r="K56" s="77" t="e">
        <f>K55/$K$71</f>
        <v>#DIV/0!</v>
      </c>
    </row>
    <row r="57" spans="2:11" ht="27.4" customHeight="1" thickTop="1" thickBot="1" x14ac:dyDescent="0.35">
      <c r="B57" s="76" t="s">
        <v>30</v>
      </c>
      <c r="C57" s="75">
        <f>(I33+C41)-C55</f>
        <v>3746629.9374606665</v>
      </c>
      <c r="D57" s="75">
        <f>(C57+D41)-D55</f>
        <v>6008142.0942373332</v>
      </c>
      <c r="E57" s="75">
        <f>(D57+E41)-E55</f>
        <v>5182645.9689919995</v>
      </c>
      <c r="F57" s="74">
        <f>SUM(C57:E57)</f>
        <v>14937418.000689998</v>
      </c>
      <c r="G57" s="75">
        <f>(E57+G41)-G55</f>
        <v>3875017.4695506664</v>
      </c>
      <c r="H57" s="75">
        <f>(G57+H41)-H55</f>
        <v>2565396.6875713328</v>
      </c>
      <c r="I57" s="75">
        <f>(H57+I41)-I55</f>
        <v>0</v>
      </c>
      <c r="J57" s="74">
        <f>SUM(G57:I57)</f>
        <v>6440414.1571219992</v>
      </c>
      <c r="K57" s="73">
        <f>SUM(J57,F57,J33,F33)</f>
        <v>49856942.771507993</v>
      </c>
    </row>
    <row r="58" spans="2:11" ht="19.5" thickTop="1" x14ac:dyDescent="0.3">
      <c r="B58" s="71"/>
      <c r="C58" s="71"/>
      <c r="D58" s="71"/>
      <c r="E58" s="72"/>
      <c r="F58" s="71"/>
      <c r="G58" s="71"/>
      <c r="H58" s="71"/>
      <c r="I58" s="71"/>
      <c r="J58" s="71"/>
      <c r="K58" s="71"/>
    </row>
    <row r="59" spans="2:11" x14ac:dyDescent="0.3">
      <c r="B59" s="70"/>
      <c r="C59" s="69"/>
      <c r="E59" s="61"/>
      <c r="F59" s="61"/>
      <c r="G59" s="61"/>
      <c r="K59" s="46"/>
    </row>
    <row r="60" spans="2:11" x14ac:dyDescent="0.3">
      <c r="B60" s="67" t="s">
        <v>19</v>
      </c>
      <c r="C60" s="68">
        <v>6190104.3099999996</v>
      </c>
      <c r="E60" s="61"/>
      <c r="F60" s="61"/>
      <c r="G60" s="61"/>
    </row>
    <row r="61" spans="2:11" x14ac:dyDescent="0.3">
      <c r="B61" s="67" t="s">
        <v>40</v>
      </c>
      <c r="C61" s="68"/>
      <c r="E61" s="61"/>
      <c r="F61" s="61"/>
      <c r="G61" s="61"/>
    </row>
    <row r="62" spans="2:11" x14ac:dyDescent="0.3">
      <c r="B62" s="67" t="s">
        <v>20</v>
      </c>
      <c r="C62" s="68">
        <v>341809.67</v>
      </c>
      <c r="E62" s="61"/>
      <c r="F62" s="61"/>
      <c r="G62" s="61"/>
    </row>
    <row r="63" spans="2:11" x14ac:dyDescent="0.3">
      <c r="B63" s="67" t="s">
        <v>21</v>
      </c>
      <c r="C63" s="68">
        <v>341809.67</v>
      </c>
      <c r="E63" s="61"/>
      <c r="F63" s="61"/>
      <c r="G63" s="61"/>
      <c r="K63" s="46"/>
    </row>
    <row r="64" spans="2:11" x14ac:dyDescent="0.3">
      <c r="B64" s="67" t="s">
        <v>22</v>
      </c>
      <c r="C64" s="64">
        <f>13599902.86-(C61+C62+C63)</f>
        <v>12916283.52</v>
      </c>
      <c r="E64" s="61"/>
      <c r="F64" s="61"/>
      <c r="G64" s="61"/>
    </row>
    <row r="65" spans="2:7" x14ac:dyDescent="0.3">
      <c r="B65" s="67" t="s">
        <v>25</v>
      </c>
      <c r="C65" s="64">
        <v>0</v>
      </c>
      <c r="E65" s="61"/>
      <c r="F65" s="61"/>
      <c r="G65" s="61"/>
    </row>
    <row r="66" spans="2:7" x14ac:dyDescent="0.3">
      <c r="B66" s="67" t="s">
        <v>26</v>
      </c>
      <c r="C66" s="64">
        <v>1495864.19</v>
      </c>
      <c r="E66" s="61"/>
      <c r="F66" s="61"/>
      <c r="G66" s="61"/>
    </row>
    <row r="67" spans="2:7" x14ac:dyDescent="0.3">
      <c r="B67" s="67" t="s">
        <v>27</v>
      </c>
      <c r="C67" s="64">
        <v>0</v>
      </c>
      <c r="E67" s="61"/>
      <c r="F67" s="61"/>
      <c r="G67" s="61"/>
    </row>
    <row r="68" spans="2:7" x14ac:dyDescent="0.3">
      <c r="B68" s="66" t="s">
        <v>28</v>
      </c>
      <c r="C68" s="64">
        <v>1486880.68</v>
      </c>
      <c r="E68" s="61"/>
      <c r="F68" s="61"/>
      <c r="G68" s="61"/>
    </row>
    <row r="69" spans="2:7" x14ac:dyDescent="0.3">
      <c r="B69" s="65"/>
      <c r="C69" s="64">
        <f>SUM(C60:C68)</f>
        <v>22772752.039999999</v>
      </c>
      <c r="E69" s="61"/>
      <c r="F69" s="61"/>
      <c r="G69" s="61"/>
    </row>
    <row r="70" spans="2:7" x14ac:dyDescent="0.3">
      <c r="B70" s="63"/>
      <c r="C70" s="63"/>
      <c r="E70" s="61"/>
      <c r="F70" s="61"/>
      <c r="G70" s="61"/>
    </row>
    <row r="71" spans="2:7" x14ac:dyDescent="0.3">
      <c r="B71" s="62"/>
      <c r="C71" s="62"/>
      <c r="E71" s="61"/>
      <c r="F71" s="61"/>
      <c r="G71" s="61"/>
    </row>
    <row r="72" spans="2:7" x14ac:dyDescent="0.3">
      <c r="E72" s="61"/>
      <c r="F72" s="61"/>
      <c r="G72" s="61"/>
    </row>
    <row r="73" spans="2:7" x14ac:dyDescent="0.3">
      <c r="E73" s="61"/>
      <c r="F73" s="61"/>
      <c r="G73" s="61"/>
    </row>
    <row r="74" spans="2:7" x14ac:dyDescent="0.3">
      <c r="E74" s="61"/>
      <c r="F74" s="61"/>
      <c r="G74" s="61"/>
    </row>
    <row r="75" spans="2:7" x14ac:dyDescent="0.3">
      <c r="E75" s="61"/>
      <c r="F75" s="61"/>
      <c r="G75" s="61"/>
    </row>
    <row r="76" spans="2:7" x14ac:dyDescent="0.3">
      <c r="E76" s="61"/>
      <c r="F76" s="61"/>
      <c r="G76" s="61"/>
    </row>
    <row r="77" spans="2:7" x14ac:dyDescent="0.3">
      <c r="B77" s="61"/>
      <c r="C77" s="61"/>
      <c r="D77" s="61"/>
      <c r="E77" s="61"/>
      <c r="F77" s="61"/>
      <c r="G77" s="61"/>
    </row>
    <row r="78" spans="2:7" x14ac:dyDescent="0.3">
      <c r="B78" s="47"/>
      <c r="C78" s="47"/>
      <c r="D78" s="47"/>
      <c r="E78" s="47"/>
    </row>
    <row r="79" spans="2:7" x14ac:dyDescent="0.3">
      <c r="B79" s="47"/>
      <c r="C79" s="47"/>
      <c r="D79" s="47"/>
      <c r="E79" s="47"/>
    </row>
    <row r="80" spans="2:7" x14ac:dyDescent="0.3">
      <c r="B80" s="47"/>
      <c r="C80" s="47"/>
      <c r="D80" s="47"/>
      <c r="E80" s="47"/>
    </row>
    <row r="81" spans="2:5" x14ac:dyDescent="0.3">
      <c r="B81" s="47"/>
      <c r="C81" s="47"/>
      <c r="D81" s="47"/>
      <c r="E81" s="47"/>
    </row>
    <row r="82" spans="2:5" x14ac:dyDescent="0.3">
      <c r="B82" s="47"/>
      <c r="C82" s="47"/>
      <c r="D82" s="47"/>
      <c r="E82" s="47"/>
    </row>
    <row r="83" spans="2:5" x14ac:dyDescent="0.3">
      <c r="B83" s="47"/>
      <c r="C83" s="47"/>
      <c r="D83" s="47"/>
      <c r="E83" s="47"/>
    </row>
    <row r="84" spans="2:5" x14ac:dyDescent="0.3">
      <c r="B84" s="47"/>
      <c r="C84" s="47"/>
      <c r="D84" s="47"/>
      <c r="E84" s="47"/>
    </row>
  </sheetData>
  <mergeCells count="4">
    <mergeCell ref="T6:U6"/>
    <mergeCell ref="C8:I8"/>
    <mergeCell ref="C12:K12"/>
    <mergeCell ref="C36:K36"/>
  </mergeCells>
  <dataValidations count="1">
    <dataValidation allowBlank="1" showInputMessage="1" showErrorMessage="1" promptTitle="Não Preencher!" prompt="Cálculo Automático" sqref="F14:F17 J14:K17 C19:K20 F21:F26 J21:K24 C25:E26 G25:K26 J27:K29 C30:K30 K31 C33:K33 F38:F41 J38:K41 C43:K44 F45:F54 J45:K48 C49:E50 G49:K50 K51:K55 C54:E54 G54:J54 C57:K57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Cronog.Desembolso2021</vt:lpstr>
      <vt:lpstr>Cronog.Desemb.2021REFORMULAÇÃO</vt:lpstr>
      <vt:lpstr>Cronog.Desemb.2021REFORMULAÇÃO!Area_de_impressao</vt:lpstr>
      <vt:lpstr>Cronog.Desembolso2021!Area_de_impressao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1</cp:revision>
  <cp:lastPrinted>2018-12-17T11:53:05Z</cp:lastPrinted>
  <dcterms:created xsi:type="dcterms:W3CDTF">2000-04-06T17:53:08Z</dcterms:created>
  <dcterms:modified xsi:type="dcterms:W3CDTF">2024-09-26T18:43:36Z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