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7.88.25\Coren\FINANCEIRO\51. PRESTACAO_CONTAS\Prestação de Contas Anuais\CRONOGRAMA DE DESEMBOLSO\"/>
    </mc:Choice>
  </mc:AlternateContent>
  <bookViews>
    <workbookView xWindow="0" yWindow="0" windowWidth="28800" windowHeight="12330" tabRatio="500"/>
  </bookViews>
  <sheets>
    <sheet name="Cronog.Desembolso2022" sheetId="1" r:id="rId1"/>
    <sheet name="Cronog.Desemb.2022REFORMULAÇÃO" sheetId="9" r:id="rId2"/>
  </sheets>
  <definedNames>
    <definedName name="_xlnm.Print_Area" localSheetId="1">Cronog.Desemb.2022REFORMULAÇÃO!$B$1:$K$58</definedName>
    <definedName name="_xlnm.Print_Area" localSheetId="0">Cronog.Desembolso2022!$B$1:$K$56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4" i="9" l="1"/>
  <c r="D14" i="9"/>
  <c r="E14" i="9"/>
  <c r="F14" i="9" s="1"/>
  <c r="G14" i="9"/>
  <c r="H14" i="9"/>
  <c r="I14" i="9"/>
  <c r="J14" i="9"/>
  <c r="K14" i="9" s="1"/>
  <c r="F15" i="9"/>
  <c r="J15" i="9"/>
  <c r="K15" i="9"/>
  <c r="F16" i="9"/>
  <c r="J16" i="9"/>
  <c r="K16" i="9"/>
  <c r="C17" i="9"/>
  <c r="D17" i="9"/>
  <c r="G17" i="9"/>
  <c r="H17" i="9"/>
  <c r="I17" i="9"/>
  <c r="J17" i="9"/>
  <c r="C20" i="9"/>
  <c r="D20" i="9"/>
  <c r="F20" i="9" s="1"/>
  <c r="E20" i="9"/>
  <c r="I20" i="9" s="1"/>
  <c r="G20" i="9"/>
  <c r="H20" i="9"/>
  <c r="C21" i="9"/>
  <c r="D21" i="9" s="1"/>
  <c r="E21" i="9"/>
  <c r="G21" i="9"/>
  <c r="H21" i="9"/>
  <c r="J21" i="9" s="1"/>
  <c r="I21" i="9"/>
  <c r="C22" i="9"/>
  <c r="D22" i="9" s="1"/>
  <c r="F22" i="9" s="1"/>
  <c r="K22" i="9" s="1"/>
  <c r="E22" i="9"/>
  <c r="G22" i="9"/>
  <c r="H22" i="9"/>
  <c r="I22" i="9"/>
  <c r="J22" i="9"/>
  <c r="C23" i="9"/>
  <c r="F23" i="9" s="1"/>
  <c r="D23" i="9"/>
  <c r="E23" i="9"/>
  <c r="H23" i="9"/>
  <c r="C27" i="9"/>
  <c r="C26" i="9" s="1"/>
  <c r="D27" i="9"/>
  <c r="D26" i="9" s="1"/>
  <c r="D25" i="9" s="1"/>
  <c r="E27" i="9"/>
  <c r="E26" i="9" s="1"/>
  <c r="E25" i="9" s="1"/>
  <c r="H27" i="9"/>
  <c r="H26" i="9" s="1"/>
  <c r="H25" i="9" s="1"/>
  <c r="C28" i="9"/>
  <c r="I28" i="9" s="1"/>
  <c r="D28" i="9"/>
  <c r="F28" i="9" s="1"/>
  <c r="E28" i="9"/>
  <c r="G28" i="9"/>
  <c r="J28" i="9" s="1"/>
  <c r="K28" i="9" s="1"/>
  <c r="H28" i="9"/>
  <c r="J29" i="9"/>
  <c r="K29" i="9"/>
  <c r="F30" i="9"/>
  <c r="J30" i="9"/>
  <c r="K30" i="9"/>
  <c r="K33" i="9"/>
  <c r="C38" i="9"/>
  <c r="F38" i="9" s="1"/>
  <c r="D38" i="9"/>
  <c r="D41" i="9" s="1"/>
  <c r="E38" i="9"/>
  <c r="E41" i="9" s="1"/>
  <c r="G38" i="9"/>
  <c r="H38" i="9"/>
  <c r="J38" i="9" s="1"/>
  <c r="K38" i="9" s="1"/>
  <c r="I38" i="9"/>
  <c r="F39" i="9"/>
  <c r="J39" i="9"/>
  <c r="K39" i="9"/>
  <c r="F40" i="9"/>
  <c r="J40" i="9"/>
  <c r="K40" i="9"/>
  <c r="G41" i="9"/>
  <c r="I41" i="9"/>
  <c r="H44" i="9"/>
  <c r="C45" i="9"/>
  <c r="D45" i="9"/>
  <c r="E45" i="9"/>
  <c r="F45" i="9" s="1"/>
  <c r="G45" i="9"/>
  <c r="H45" i="9"/>
  <c r="I45" i="9"/>
  <c r="J45" i="9"/>
  <c r="C46" i="9"/>
  <c r="F46" i="9" s="1"/>
  <c r="D46" i="9"/>
  <c r="E46" i="9"/>
  <c r="G46" i="9"/>
  <c r="H46" i="9"/>
  <c r="J46" i="9" s="1"/>
  <c r="K46" i="9" s="1"/>
  <c r="D62" i="9" s="1"/>
  <c r="I46" i="9"/>
  <c r="D47" i="9"/>
  <c r="E47" i="9"/>
  <c r="G47" i="9"/>
  <c r="H47" i="9"/>
  <c r="D51" i="9"/>
  <c r="E51" i="9"/>
  <c r="G51" i="9"/>
  <c r="H51" i="9"/>
  <c r="H52" i="9"/>
  <c r="E53" i="9"/>
  <c r="F54" i="9"/>
  <c r="I54" i="9"/>
  <c r="J54" i="9"/>
  <c r="K54" i="9" s="1"/>
  <c r="K57" i="9"/>
  <c r="D63" i="9"/>
  <c r="C64" i="9"/>
  <c r="C24" i="9" s="1"/>
  <c r="D64" i="9"/>
  <c r="D66" i="9"/>
  <c r="C52" i="9" s="1"/>
  <c r="D67" i="9"/>
  <c r="C53" i="9" s="1"/>
  <c r="D68" i="9"/>
  <c r="C62" i="1"/>
  <c r="K55" i="1"/>
  <c r="J52" i="1"/>
  <c r="K52" i="1" s="1"/>
  <c r="D66" i="1" s="1"/>
  <c r="I52" i="1"/>
  <c r="F52" i="1"/>
  <c r="F51" i="1"/>
  <c r="K51" i="1" s="1"/>
  <c r="G50" i="1"/>
  <c r="E50" i="1"/>
  <c r="D50" i="1"/>
  <c r="G49" i="1"/>
  <c r="G46" i="1"/>
  <c r="E46" i="1"/>
  <c r="D46" i="1"/>
  <c r="D44" i="1"/>
  <c r="H43" i="1"/>
  <c r="G43" i="1"/>
  <c r="C43" i="1"/>
  <c r="G42" i="1"/>
  <c r="E42" i="1"/>
  <c r="D42" i="1"/>
  <c r="J38" i="1"/>
  <c r="K38" i="1" s="1"/>
  <c r="F38" i="1"/>
  <c r="I37" i="1"/>
  <c r="I39" i="1" s="1"/>
  <c r="H37" i="1"/>
  <c r="H39" i="1" s="1"/>
  <c r="G37" i="1"/>
  <c r="G39" i="1" s="1"/>
  <c r="E37" i="1"/>
  <c r="E39" i="1" s="1"/>
  <c r="D37" i="1"/>
  <c r="D39" i="1" s="1"/>
  <c r="C37" i="1"/>
  <c r="F37" i="1" s="1"/>
  <c r="K32" i="1"/>
  <c r="K29" i="1"/>
  <c r="J29" i="1"/>
  <c r="F29" i="1"/>
  <c r="K28" i="1"/>
  <c r="J28" i="1"/>
  <c r="H27" i="1"/>
  <c r="G27" i="1"/>
  <c r="E27" i="1"/>
  <c r="D27" i="1"/>
  <c r="F27" i="1" s="1"/>
  <c r="C27" i="1"/>
  <c r="C50" i="1" s="1"/>
  <c r="F50" i="1" s="1"/>
  <c r="H26" i="1"/>
  <c r="H25" i="1" s="1"/>
  <c r="H24" i="1" s="1"/>
  <c r="G26" i="1"/>
  <c r="G25" i="1" s="1"/>
  <c r="C26" i="1"/>
  <c r="H23" i="1"/>
  <c r="G23" i="1"/>
  <c r="E23" i="1"/>
  <c r="D23" i="1"/>
  <c r="F23" i="1" s="1"/>
  <c r="C23" i="1"/>
  <c r="C46" i="1" s="1"/>
  <c r="F46" i="1" s="1"/>
  <c r="G22" i="1"/>
  <c r="C22" i="1"/>
  <c r="H21" i="1"/>
  <c r="G21" i="1"/>
  <c r="E21" i="1"/>
  <c r="D21" i="1"/>
  <c r="C21" i="1"/>
  <c r="I44" i="1" s="1"/>
  <c r="I20" i="1"/>
  <c r="H20" i="1"/>
  <c r="G20" i="1"/>
  <c r="J20" i="1" s="1"/>
  <c r="E20" i="1"/>
  <c r="D20" i="1"/>
  <c r="C20" i="1"/>
  <c r="E43" i="1" s="1"/>
  <c r="H19" i="1"/>
  <c r="E19" i="1"/>
  <c r="C42" i="1" s="1"/>
  <c r="D19" i="1"/>
  <c r="C19" i="1"/>
  <c r="J15" i="1"/>
  <c r="K15" i="1" s="1"/>
  <c r="F15" i="1"/>
  <c r="I14" i="1"/>
  <c r="I16" i="1" s="1"/>
  <c r="H14" i="1"/>
  <c r="H16" i="1" s="1"/>
  <c r="G14" i="1"/>
  <c r="J14" i="1" s="1"/>
  <c r="K14" i="1" s="1"/>
  <c r="E14" i="1"/>
  <c r="E16" i="1" s="1"/>
  <c r="D14" i="1"/>
  <c r="F14" i="1" s="1"/>
  <c r="C14" i="1"/>
  <c r="C16" i="1" s="1"/>
  <c r="C25" i="9" l="1"/>
  <c r="F25" i="9" s="1"/>
  <c r="F26" i="9"/>
  <c r="I24" i="9"/>
  <c r="H24" i="9"/>
  <c r="C48" i="9"/>
  <c r="D24" i="9"/>
  <c r="D19" i="9" s="1"/>
  <c r="D31" i="9" s="1"/>
  <c r="G48" i="9"/>
  <c r="J48" i="9" s="1"/>
  <c r="H48" i="9"/>
  <c r="D48" i="9"/>
  <c r="E48" i="9"/>
  <c r="E24" i="9"/>
  <c r="E19" i="9" s="1"/>
  <c r="E31" i="9" s="1"/>
  <c r="I48" i="9"/>
  <c r="G24" i="9"/>
  <c r="J24" i="9" s="1"/>
  <c r="H19" i="9"/>
  <c r="H31" i="9" s="1"/>
  <c r="H43" i="9"/>
  <c r="J47" i="9"/>
  <c r="F21" i="9"/>
  <c r="K45" i="9" s="1"/>
  <c r="I52" i="9"/>
  <c r="I44" i="9"/>
  <c r="C19" i="9"/>
  <c r="G52" i="9"/>
  <c r="J52" i="9" s="1"/>
  <c r="G44" i="9"/>
  <c r="I53" i="9"/>
  <c r="C51" i="9"/>
  <c r="C47" i="9"/>
  <c r="F47" i="9" s="1"/>
  <c r="H53" i="9"/>
  <c r="H50" i="9" s="1"/>
  <c r="H49" i="9" s="1"/>
  <c r="E52" i="9"/>
  <c r="E50" i="9" s="1"/>
  <c r="E49" i="9" s="1"/>
  <c r="E44" i="9"/>
  <c r="E43" i="9" s="1"/>
  <c r="E55" i="9" s="1"/>
  <c r="H41" i="9"/>
  <c r="E17" i="9"/>
  <c r="G53" i="9"/>
  <c r="G50" i="9" s="1"/>
  <c r="D52" i="9"/>
  <c r="D50" i="9" s="1"/>
  <c r="D49" i="9" s="1"/>
  <c r="D44" i="9"/>
  <c r="C44" i="9"/>
  <c r="I27" i="9"/>
  <c r="I26" i="9" s="1"/>
  <c r="I25" i="9" s="1"/>
  <c r="I23" i="9"/>
  <c r="I19" i="9" s="1"/>
  <c r="I31" i="9" s="1"/>
  <c r="D53" i="9"/>
  <c r="F53" i="9" s="1"/>
  <c r="J51" i="9"/>
  <c r="G27" i="9"/>
  <c r="G23" i="9"/>
  <c r="J23" i="9" s="1"/>
  <c r="K23" i="9" s="1"/>
  <c r="J20" i="9"/>
  <c r="K20" i="9" s="1"/>
  <c r="I51" i="9"/>
  <c r="I47" i="9"/>
  <c r="C41" i="9"/>
  <c r="F27" i="9"/>
  <c r="G24" i="1"/>
  <c r="D41" i="1"/>
  <c r="D53" i="1" s="1"/>
  <c r="G41" i="1"/>
  <c r="F26" i="1"/>
  <c r="J39" i="1"/>
  <c r="F42" i="1"/>
  <c r="J22" i="1"/>
  <c r="E18" i="1"/>
  <c r="E30" i="1" s="1"/>
  <c r="H22" i="1"/>
  <c r="H18" i="1" s="1"/>
  <c r="H30" i="1" s="1"/>
  <c r="F21" i="1"/>
  <c r="I22" i="1"/>
  <c r="I26" i="1"/>
  <c r="I25" i="1" s="1"/>
  <c r="I24" i="1" s="1"/>
  <c r="I43" i="1"/>
  <c r="C45" i="1"/>
  <c r="F45" i="1" s="1"/>
  <c r="C49" i="1"/>
  <c r="D16" i="1"/>
  <c r="F16" i="1" s="1"/>
  <c r="J26" i="1"/>
  <c r="K26" i="1" s="1"/>
  <c r="J37" i="1"/>
  <c r="K37" i="1" s="1"/>
  <c r="D45" i="1"/>
  <c r="D49" i="1"/>
  <c r="D48" i="1" s="1"/>
  <c r="D47" i="1" s="1"/>
  <c r="H42" i="1"/>
  <c r="E45" i="1"/>
  <c r="H46" i="1"/>
  <c r="J46" i="1" s="1"/>
  <c r="E49" i="1"/>
  <c r="E48" i="1" s="1"/>
  <c r="E47" i="1" s="1"/>
  <c r="H50" i="1"/>
  <c r="J50" i="1" s="1"/>
  <c r="K50" i="1" s="1"/>
  <c r="D64" i="1" s="1"/>
  <c r="J43" i="1"/>
  <c r="F20" i="1"/>
  <c r="K20" i="1" s="1"/>
  <c r="I21" i="1"/>
  <c r="J21" i="1" s="1"/>
  <c r="K21" i="1" s="1"/>
  <c r="I42" i="1"/>
  <c r="I41" i="1" s="1"/>
  <c r="C44" i="1"/>
  <c r="I46" i="1"/>
  <c r="I50" i="1"/>
  <c r="G16" i="1"/>
  <c r="G45" i="1"/>
  <c r="E44" i="1"/>
  <c r="E41" i="1" s="1"/>
  <c r="E53" i="1" s="1"/>
  <c r="H45" i="1"/>
  <c r="H49" i="1"/>
  <c r="H48" i="1" s="1"/>
  <c r="H47" i="1" s="1"/>
  <c r="C18" i="1"/>
  <c r="F19" i="1"/>
  <c r="C39" i="1"/>
  <c r="I45" i="1"/>
  <c r="I49" i="1"/>
  <c r="G19" i="1"/>
  <c r="D22" i="1"/>
  <c r="F22" i="1" s="1"/>
  <c r="D26" i="1"/>
  <c r="D25" i="1" s="1"/>
  <c r="D24" i="1" s="1"/>
  <c r="D43" i="1"/>
  <c r="F43" i="1" s="1"/>
  <c r="G44" i="1"/>
  <c r="G48" i="1"/>
  <c r="E26" i="1"/>
  <c r="E25" i="1" s="1"/>
  <c r="E24" i="1" s="1"/>
  <c r="H44" i="1"/>
  <c r="E22" i="1"/>
  <c r="I19" i="1"/>
  <c r="I23" i="1"/>
  <c r="J23" i="1" s="1"/>
  <c r="K23" i="1" s="1"/>
  <c r="C25" i="1"/>
  <c r="I27" i="1"/>
  <c r="J27" i="1" s="1"/>
  <c r="K27" i="1" s="1"/>
  <c r="G49" i="9" l="1"/>
  <c r="K47" i="9"/>
  <c r="H55" i="9"/>
  <c r="C50" i="9"/>
  <c r="F51" i="9"/>
  <c r="F48" i="9"/>
  <c r="K48" i="9"/>
  <c r="G43" i="9"/>
  <c r="J44" i="9"/>
  <c r="F52" i="9"/>
  <c r="C43" i="9"/>
  <c r="F44" i="9"/>
  <c r="D43" i="9"/>
  <c r="D55" i="9" s="1"/>
  <c r="K52" i="9"/>
  <c r="G26" i="9"/>
  <c r="J27" i="9"/>
  <c r="K27" i="9" s="1"/>
  <c r="F41" i="9"/>
  <c r="I43" i="9"/>
  <c r="I50" i="9"/>
  <c r="I49" i="9" s="1"/>
  <c r="F17" i="9"/>
  <c r="F24" i="9"/>
  <c r="K24" i="9" s="1"/>
  <c r="K21" i="9"/>
  <c r="F19" i="9"/>
  <c r="F31" i="9" s="1"/>
  <c r="C31" i="9"/>
  <c r="J53" i="9"/>
  <c r="K53" i="9" s="1"/>
  <c r="J41" i="9"/>
  <c r="G19" i="9"/>
  <c r="F49" i="1"/>
  <c r="C48" i="1"/>
  <c r="F18" i="1"/>
  <c r="F30" i="1" s="1"/>
  <c r="C30" i="1"/>
  <c r="G47" i="1"/>
  <c r="J47" i="1" s="1"/>
  <c r="J48" i="1"/>
  <c r="F39" i="1"/>
  <c r="K46" i="1"/>
  <c r="D62" i="1" s="1"/>
  <c r="I18" i="1"/>
  <c r="I30" i="1" s="1"/>
  <c r="J45" i="1"/>
  <c r="K45" i="1" s="1"/>
  <c r="D61" i="1" s="1"/>
  <c r="C41" i="1"/>
  <c r="J25" i="1"/>
  <c r="K25" i="1" s="1"/>
  <c r="J41" i="1"/>
  <c r="J24" i="1"/>
  <c r="K24" i="1" s="1"/>
  <c r="J49" i="1"/>
  <c r="K22" i="1"/>
  <c r="H41" i="1"/>
  <c r="H53" i="1" s="1"/>
  <c r="J42" i="1"/>
  <c r="G18" i="1"/>
  <c r="J19" i="1"/>
  <c r="K19" i="1" s="1"/>
  <c r="K43" i="1"/>
  <c r="J44" i="1"/>
  <c r="K44" i="1" s="1"/>
  <c r="D60" i="1" s="1"/>
  <c r="J16" i="1"/>
  <c r="F25" i="1"/>
  <c r="C24" i="1"/>
  <c r="F24" i="1" s="1"/>
  <c r="I48" i="1"/>
  <c r="I47" i="1" s="1"/>
  <c r="I53" i="1" s="1"/>
  <c r="F44" i="1"/>
  <c r="D18" i="1"/>
  <c r="D30" i="1" s="1"/>
  <c r="J43" i="9" l="1"/>
  <c r="G55" i="9"/>
  <c r="K51" i="9"/>
  <c r="C49" i="9"/>
  <c r="F49" i="9" s="1"/>
  <c r="F50" i="9"/>
  <c r="J26" i="9"/>
  <c r="K26" i="9" s="1"/>
  <c r="G25" i="9"/>
  <c r="J25" i="9" s="1"/>
  <c r="K25" i="9" s="1"/>
  <c r="K17" i="9"/>
  <c r="C33" i="9"/>
  <c r="D33" i="9" s="1"/>
  <c r="E33" i="9" s="1"/>
  <c r="C55" i="9"/>
  <c r="F43" i="9"/>
  <c r="F55" i="9" s="1"/>
  <c r="J50" i="9"/>
  <c r="J19" i="9"/>
  <c r="I55" i="9"/>
  <c r="J49" i="9"/>
  <c r="K49" i="9" s="1"/>
  <c r="K41" i="9"/>
  <c r="K44" i="9"/>
  <c r="D60" i="9" s="1"/>
  <c r="G53" i="1"/>
  <c r="C47" i="1"/>
  <c r="F47" i="1" s="1"/>
  <c r="K47" i="1" s="1"/>
  <c r="F48" i="1"/>
  <c r="C32" i="1"/>
  <c r="D32" i="1" s="1"/>
  <c r="E32" i="1" s="1"/>
  <c r="K42" i="1"/>
  <c r="D58" i="1" s="1"/>
  <c r="F41" i="1"/>
  <c r="F53" i="1" s="1"/>
  <c r="C53" i="1"/>
  <c r="J17" i="1"/>
  <c r="G30" i="1"/>
  <c r="J18" i="1"/>
  <c r="J53" i="1"/>
  <c r="K39" i="1"/>
  <c r="K16" i="1"/>
  <c r="K17" i="1" s="1"/>
  <c r="K48" i="1"/>
  <c r="K49" i="1"/>
  <c r="D63" i="1" s="1"/>
  <c r="K42" i="9" l="1"/>
  <c r="D42" i="9"/>
  <c r="G18" i="9"/>
  <c r="J18" i="9"/>
  <c r="E42" i="9"/>
  <c r="C18" i="9"/>
  <c r="D18" i="9"/>
  <c r="I18" i="9"/>
  <c r="I42" i="9"/>
  <c r="H18" i="9"/>
  <c r="G42" i="9"/>
  <c r="E18" i="9"/>
  <c r="H42" i="9"/>
  <c r="C42" i="9"/>
  <c r="F18" i="9"/>
  <c r="J42" i="9"/>
  <c r="F42" i="9"/>
  <c r="G31" i="9"/>
  <c r="J31" i="9"/>
  <c r="K19" i="9"/>
  <c r="K18" i="9"/>
  <c r="K50" i="9"/>
  <c r="K43" i="9"/>
  <c r="J55" i="9"/>
  <c r="G32" i="1"/>
  <c r="H32" i="1" s="1"/>
  <c r="I32" i="1" s="1"/>
  <c r="C55" i="1" s="1"/>
  <c r="D55" i="1" s="1"/>
  <c r="E55" i="1" s="1"/>
  <c r="G55" i="1" s="1"/>
  <c r="H55" i="1" s="1"/>
  <c r="I55" i="1" s="1"/>
  <c r="K40" i="1"/>
  <c r="I17" i="1"/>
  <c r="G40" i="1"/>
  <c r="E17" i="1"/>
  <c r="E40" i="1"/>
  <c r="C17" i="1"/>
  <c r="D40" i="1"/>
  <c r="H17" i="1"/>
  <c r="H40" i="1"/>
  <c r="I40" i="1"/>
  <c r="C40" i="1"/>
  <c r="F17" i="1"/>
  <c r="J40" i="1"/>
  <c r="D17" i="1"/>
  <c r="G17" i="1"/>
  <c r="F40" i="1"/>
  <c r="K53" i="1"/>
  <c r="K41" i="1"/>
  <c r="K18" i="1"/>
  <c r="J30" i="1"/>
  <c r="K55" i="9" l="1"/>
  <c r="J56" i="9" s="1"/>
  <c r="J32" i="9"/>
  <c r="K31" i="9"/>
  <c r="K32" i="9" s="1"/>
  <c r="G33" i="9"/>
  <c r="H33" i="9" s="1"/>
  <c r="I33" i="9" s="1"/>
  <c r="C57" i="9" s="1"/>
  <c r="D57" i="9" s="1"/>
  <c r="E57" i="9" s="1"/>
  <c r="G57" i="9" s="1"/>
  <c r="H57" i="9" s="1"/>
  <c r="I57" i="9" s="1"/>
  <c r="K54" i="1"/>
  <c r="E54" i="1"/>
  <c r="H31" i="1"/>
  <c r="D54" i="1"/>
  <c r="E31" i="1"/>
  <c r="K57" i="1"/>
  <c r="I54" i="1"/>
  <c r="C31" i="1"/>
  <c r="F31" i="1"/>
  <c r="D31" i="1"/>
  <c r="H54" i="1"/>
  <c r="I31" i="1"/>
  <c r="C54" i="1"/>
  <c r="G54" i="1"/>
  <c r="J31" i="1"/>
  <c r="K30" i="1"/>
  <c r="K31" i="1" s="1"/>
  <c r="G31" i="1"/>
  <c r="J54" i="1"/>
  <c r="F54" i="1"/>
  <c r="K56" i="9" l="1"/>
  <c r="I32" i="9"/>
  <c r="E32" i="9"/>
  <c r="D32" i="9"/>
  <c r="H32" i="9"/>
  <c r="E56" i="9"/>
  <c r="F32" i="9"/>
  <c r="C32" i="9"/>
  <c r="D56" i="9"/>
  <c r="H56" i="9"/>
  <c r="K59" i="9"/>
  <c r="C56" i="9"/>
  <c r="G56" i="9"/>
  <c r="F56" i="9"/>
  <c r="I56" i="9"/>
  <c r="G32" i="9"/>
</calcChain>
</file>

<file path=xl/comments1.xml><?xml version="1.0" encoding="utf-8"?>
<comments xmlns="http://schemas.openxmlformats.org/spreadsheetml/2006/main">
  <authors>
    <author/>
  </authors>
  <commentList>
    <comment ref="B11" authorId="0" shapeId="0">
      <text>
        <r>
          <rPr>
            <sz val="10"/>
            <rFont val="Arial"/>
            <charset val="1"/>
          </rPr>
          <t>Preencher com o valor total da Receita</t>
        </r>
      </text>
    </comment>
    <comment ref="B57" authorId="0" shapeId="0">
      <text>
        <r>
          <rPr>
            <sz val="10"/>
            <rFont val="Arial"/>
            <charset val="1"/>
          </rPr>
          <t>Preencher com os dados das despesas individuais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B11" authorId="0" shapeId="0">
      <text>
        <r>
          <rPr>
            <sz val="10"/>
            <rFont val="Arial"/>
            <charset val="1"/>
          </rPr>
          <t>Preencher com o valor total da Receita</t>
        </r>
      </text>
    </comment>
    <comment ref="B59" authorId="0" shapeId="0">
      <text>
        <r>
          <rPr>
            <sz val="10"/>
            <rFont val="Arial"/>
            <charset val="1"/>
          </rPr>
          <t>Preencher com os dados das despesas individuais</t>
        </r>
      </text>
    </comment>
  </commentList>
</comments>
</file>

<file path=xl/sharedStrings.xml><?xml version="1.0" encoding="utf-8"?>
<sst xmlns="http://schemas.openxmlformats.org/spreadsheetml/2006/main" count="150" uniqueCount="44">
  <si>
    <t xml:space="preserve"> </t>
  </si>
  <si>
    <t>Conselho Regional de Enfermagem de Pernambuco</t>
  </si>
  <si>
    <t>Exercício: 2022</t>
  </si>
  <si>
    <t>CONTRAPARTIDA FINANCEIRA</t>
  </si>
  <si>
    <t>MESES</t>
  </si>
  <si>
    <t>Grupos/Elementos de Despesa</t>
  </si>
  <si>
    <t>JAN</t>
  </si>
  <si>
    <t>FEV</t>
  </si>
  <si>
    <t>MAR</t>
  </si>
  <si>
    <t>SUBTOTAL 1</t>
  </si>
  <si>
    <t>ABR</t>
  </si>
  <si>
    <t>MAI</t>
  </si>
  <si>
    <t>JUN</t>
  </si>
  <si>
    <t>SUBTOTAL 2</t>
  </si>
  <si>
    <t>TOTAL SEMESTRE</t>
  </si>
  <si>
    <t>Receitas Correntes</t>
  </si>
  <si>
    <t>Receitas de Capital</t>
  </si>
  <si>
    <t>Total das Receitas</t>
  </si>
  <si>
    <t>Percentual Mensal/Trimestral</t>
  </si>
  <si>
    <t>DESPESAS CORRENTES</t>
  </si>
  <si>
    <t>Pessoal Civil</t>
  </si>
  <si>
    <t>Juros e Encargos da Dívida</t>
  </si>
  <si>
    <t>Material de Consumo</t>
  </si>
  <si>
    <t>Passagens e Despesas com Locomoção</t>
  </si>
  <si>
    <t>Outras Despesas Correntes</t>
  </si>
  <si>
    <t>DESPESAS DE CAPITAL</t>
  </si>
  <si>
    <t>Investimentos</t>
  </si>
  <si>
    <t>Obras e Instalações</t>
  </si>
  <si>
    <t>Equipamento e Material Permanente</t>
  </si>
  <si>
    <t>Inversões Financeiras</t>
  </si>
  <si>
    <t>RESERVA DE CONTINGÊNCIA</t>
  </si>
  <si>
    <t>Total das Despesas</t>
  </si>
  <si>
    <t>Superávit/Déficit</t>
  </si>
  <si>
    <t>JUL</t>
  </si>
  <si>
    <t>AGO</t>
  </si>
  <si>
    <t>SET</t>
  </si>
  <si>
    <t>SUBTOTAL 3</t>
  </si>
  <si>
    <t>OUT</t>
  </si>
  <si>
    <t>NOV</t>
  </si>
  <si>
    <t>DEZ</t>
  </si>
  <si>
    <t>SUBTOTAL 4</t>
  </si>
  <si>
    <t>TOTAL ANUAL</t>
  </si>
  <si>
    <t>SUPERAVIT FINANCEIRO DE EXERCÍCIO ANTERIOR</t>
  </si>
  <si>
    <t>Exercício: 2022 – após 1ª Reformulação do Orçamento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</si>
</sst>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\-??_);_(@_)"/>
  </numFmts>
  <fonts count="20" x14ac:knownFonts="1">
    <font>
      <sz val="10"/>
      <name val="Arial"/>
      <charset val="1"/>
    </font>
    <font>
      <sz val="11"/>
      <color rgb="FF000000"/>
      <name val="Calibri"/>
      <family val="2"/>
      <charset val="1"/>
    </font>
    <font>
      <sz val="14"/>
      <name val="Times New Roman"/>
      <family val="1"/>
      <charset val="1"/>
    </font>
    <font>
      <sz val="14"/>
      <color rgb="FF333333"/>
      <name val="Times New Roman"/>
      <family val="1"/>
      <charset val="1"/>
    </font>
    <font>
      <b/>
      <sz val="14"/>
      <name val="Times New Roman"/>
      <family val="1"/>
      <charset val="1"/>
    </font>
    <font>
      <b/>
      <u/>
      <sz val="14"/>
      <name val="Times New Roman"/>
      <family val="1"/>
      <charset val="1"/>
    </font>
    <font>
      <b/>
      <sz val="14"/>
      <color rgb="FF000080"/>
      <name val="Times New Roman"/>
      <family val="1"/>
      <charset val="1"/>
    </font>
    <font>
      <sz val="14"/>
      <color rgb="FFCE181E"/>
      <name val="Times New Roman"/>
      <family val="1"/>
      <charset val="1"/>
    </font>
    <font>
      <b/>
      <sz val="14"/>
      <color rgb="FFFFFFFF"/>
      <name val="Times New Roman"/>
      <family val="1"/>
      <charset val="1"/>
    </font>
    <font>
      <b/>
      <sz val="14"/>
      <color rgb="FFFF0000"/>
      <name val="Times New Roman"/>
      <family val="1"/>
      <charset val="1"/>
    </font>
    <font>
      <sz val="14"/>
      <color rgb="FF3366FF"/>
      <name val="Times New Roman"/>
      <family val="1"/>
      <charset val="1"/>
    </font>
    <font>
      <sz val="14"/>
      <color rgb="FF0000FF"/>
      <name val="Times New Roman"/>
      <family val="1"/>
      <charset val="1"/>
    </font>
    <font>
      <b/>
      <sz val="14"/>
      <color rgb="FF0000FF"/>
      <name val="Times New Roman"/>
      <family val="1"/>
      <charset val="1"/>
    </font>
    <font>
      <sz val="14"/>
      <color rgb="FFFF0000"/>
      <name val="Times New Roman"/>
      <family val="1"/>
      <charset val="1"/>
    </font>
    <font>
      <sz val="14"/>
      <color rgb="FFFFFFFF"/>
      <name val="Times New Roman"/>
      <family val="1"/>
      <charset val="1"/>
    </font>
    <font>
      <sz val="12"/>
      <color rgb="FFFFFFFF"/>
      <name val="Arial"/>
      <charset val="1"/>
    </font>
    <font>
      <sz val="12"/>
      <color rgb="FFFFFFFF"/>
      <name val="Arial"/>
      <family val="2"/>
      <charset val="1"/>
    </font>
    <font>
      <sz val="12"/>
      <color rgb="FFFFFFFF"/>
      <name val="Times New Roman"/>
      <family val="1"/>
      <charset val="1"/>
    </font>
    <font>
      <sz val="10"/>
      <name val="Arial"/>
      <charset val="1"/>
    </font>
    <font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6">
    <border>
      <left/>
      <right/>
      <top/>
      <bottom/>
      <diagonal/>
    </border>
    <border>
      <left style="double">
        <color rgb="FF0000FF"/>
      </left>
      <right style="thin">
        <color rgb="FF0000FF"/>
      </right>
      <top style="double">
        <color rgb="FF0000FF"/>
      </top>
      <bottom style="thin">
        <color rgb="FF0000FF"/>
      </bottom>
      <diagonal/>
    </border>
    <border>
      <left style="thin">
        <color rgb="FF0000FF"/>
      </left>
      <right style="double">
        <color rgb="FF0000FF"/>
      </right>
      <top style="double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double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/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/>
      <diagonal/>
    </border>
    <border>
      <left style="double">
        <color rgb="FF0000FF"/>
      </left>
      <right/>
      <top style="thin">
        <color rgb="FF0000FF"/>
      </top>
      <bottom style="thin">
        <color rgb="FF0000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FF"/>
      </left>
      <right style="double">
        <color rgb="FF0000FF"/>
      </right>
      <top style="thin">
        <color rgb="FF0000FF"/>
      </top>
      <bottom/>
      <diagonal/>
    </border>
    <border>
      <left style="double">
        <color rgb="FF0000FF"/>
      </left>
      <right style="thin">
        <color rgb="FF0000FF"/>
      </right>
      <top style="double">
        <color rgb="FF0000FF"/>
      </top>
      <bottom style="double">
        <color rgb="FF0000FF"/>
      </bottom>
      <diagonal/>
    </border>
    <border>
      <left style="thin">
        <color rgb="FF0000FF"/>
      </left>
      <right style="thin">
        <color rgb="FF0000FF"/>
      </right>
      <top style="double">
        <color rgb="FF0000FF"/>
      </top>
      <bottom style="double">
        <color rgb="FF0000FF"/>
      </bottom>
      <diagonal/>
    </border>
    <border>
      <left style="thin">
        <color rgb="FF0000FF"/>
      </left>
      <right style="double">
        <color rgb="FF0000FF"/>
      </right>
      <top style="double">
        <color rgb="FF0000FF"/>
      </top>
      <bottom style="double">
        <color rgb="FF0000FF"/>
      </bottom>
      <diagonal/>
    </border>
    <border>
      <left/>
      <right/>
      <top/>
      <bottom style="medium">
        <color auto="1"/>
      </bottom>
      <diagonal/>
    </border>
  </borders>
  <cellStyleXfs count="5">
    <xf numFmtId="0" fontId="0" fillId="0" borderId="0"/>
    <xf numFmtId="164" fontId="18" fillId="0" borderId="0" applyBorder="0" applyProtection="0"/>
    <xf numFmtId="9" fontId="18" fillId="0" borderId="0" applyBorder="0" applyProtection="0"/>
    <xf numFmtId="0" fontId="1" fillId="0" borderId="0"/>
    <xf numFmtId="0" fontId="1" fillId="0" borderId="0"/>
  </cellStyleXfs>
  <cellXfs count="65">
    <xf numFmtId="0" fontId="0" fillId="0" borderId="0" xfId="0"/>
    <xf numFmtId="0" fontId="4" fillId="2" borderId="2" xfId="0" applyFont="1" applyFill="1" applyBorder="1" applyAlignment="1" applyProtection="1">
      <alignment horizontal="center" vertical="center"/>
    </xf>
    <xf numFmtId="49" fontId="5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 applyProtection="1">
      <alignment horizontal="left" vertical="center"/>
    </xf>
    <xf numFmtId="0" fontId="2" fillId="0" borderId="0" xfId="0" applyFont="1" applyProtection="1"/>
    <xf numFmtId="0" fontId="3" fillId="0" borderId="0" xfId="0" applyFont="1" applyProtection="1"/>
    <xf numFmtId="0" fontId="2" fillId="2" borderId="0" xfId="0" applyFont="1" applyFill="1" applyProtection="1"/>
    <xf numFmtId="0" fontId="3" fillId="2" borderId="0" xfId="0" applyFont="1" applyFill="1" applyProtection="1"/>
    <xf numFmtId="0" fontId="2" fillId="0" borderId="0" xfId="0" applyFont="1" applyBorder="1" applyProtection="1"/>
    <xf numFmtId="1" fontId="2" fillId="2" borderId="0" xfId="0" applyNumberFormat="1" applyFont="1" applyFill="1" applyBorder="1" applyAlignment="1" applyProtection="1">
      <alignment horizontal="left" vertical="center"/>
    </xf>
    <xf numFmtId="49" fontId="2" fillId="2" borderId="0" xfId="0" applyNumberFormat="1" applyFont="1" applyFill="1" applyBorder="1" applyAlignment="1" applyProtection="1">
      <alignment vertical="center"/>
    </xf>
    <xf numFmtId="49" fontId="4" fillId="2" borderId="0" xfId="0" applyNumberFormat="1" applyFont="1" applyFill="1" applyAlignment="1" applyProtection="1">
      <alignment vertical="center" wrapText="1"/>
      <protection locked="0"/>
    </xf>
    <xf numFmtId="49" fontId="2" fillId="0" borderId="0" xfId="0" applyNumberFormat="1" applyFont="1" applyAlignment="1" applyProtection="1">
      <alignment vertical="center" wrapText="1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/>
    <xf numFmtId="0" fontId="7" fillId="2" borderId="0" xfId="0" applyFont="1" applyFill="1" applyProtection="1"/>
    <xf numFmtId="0" fontId="8" fillId="2" borderId="0" xfId="0" applyFont="1" applyFill="1" applyAlignment="1" applyProtection="1"/>
    <xf numFmtId="9" fontId="9" fillId="2" borderId="0" xfId="0" applyNumberFormat="1" applyFont="1" applyFill="1" applyAlignment="1" applyProtection="1">
      <alignment horizontal="center"/>
    </xf>
    <xf numFmtId="9" fontId="9" fillId="0" borderId="0" xfId="0" applyNumberFormat="1" applyFont="1" applyAlignment="1" applyProtection="1">
      <alignment horizontal="center"/>
    </xf>
    <xf numFmtId="0" fontId="10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left" vertical="center"/>
    </xf>
    <xf numFmtId="4" fontId="2" fillId="0" borderId="4" xfId="0" applyNumberFormat="1" applyFont="1" applyBorder="1" applyAlignment="1" applyProtection="1">
      <alignment horizontal="right" vertical="center"/>
    </xf>
    <xf numFmtId="4" fontId="4" fillId="2" borderId="7" xfId="0" applyNumberFormat="1" applyFont="1" applyFill="1" applyBorder="1" applyAlignment="1" applyProtection="1">
      <alignment horizontal="right" vertical="center"/>
    </xf>
    <xf numFmtId="4" fontId="2" fillId="2" borderId="4" xfId="0" applyNumberFormat="1" applyFont="1" applyFill="1" applyBorder="1" applyAlignment="1" applyProtection="1">
      <alignment horizontal="right" vertical="center"/>
    </xf>
    <xf numFmtId="4" fontId="4" fillId="2" borderId="6" xfId="0" applyNumberFormat="1" applyFont="1" applyFill="1" applyBorder="1" applyAlignment="1" applyProtection="1">
      <alignment horizontal="right" vertical="center"/>
    </xf>
    <xf numFmtId="0" fontId="4" fillId="2" borderId="3" xfId="0" applyFont="1" applyFill="1" applyBorder="1" applyAlignment="1" applyProtection="1">
      <alignment horizontal="left" vertical="center"/>
    </xf>
    <xf numFmtId="4" fontId="4" fillId="2" borderId="8" xfId="0" applyNumberFormat="1" applyFont="1" applyFill="1" applyBorder="1" applyAlignment="1" applyProtection="1">
      <alignment horizontal="right" vertical="center"/>
    </xf>
    <xf numFmtId="0" fontId="11" fillId="2" borderId="9" xfId="0" applyFont="1" applyFill="1" applyBorder="1" applyAlignment="1" applyProtection="1">
      <alignment horizontal="right" vertical="center"/>
    </xf>
    <xf numFmtId="10" fontId="11" fillId="2" borderId="10" xfId="0" applyNumberFormat="1" applyFont="1" applyFill="1" applyBorder="1" applyProtection="1"/>
    <xf numFmtId="10" fontId="12" fillId="2" borderId="6" xfId="2" applyNumberFormat="1" applyFont="1" applyFill="1" applyBorder="1" applyAlignment="1" applyProtection="1">
      <alignment horizontal="right" vertical="center"/>
    </xf>
    <xf numFmtId="0" fontId="11" fillId="0" borderId="0" xfId="0" applyFont="1" applyProtection="1"/>
    <xf numFmtId="0" fontId="2" fillId="2" borderId="3" xfId="0" applyFont="1" applyFill="1" applyBorder="1" applyAlignment="1" applyProtection="1">
      <alignment vertical="center"/>
    </xf>
    <xf numFmtId="4" fontId="4" fillId="2" borderId="4" xfId="0" applyNumberFormat="1" applyFont="1" applyFill="1" applyBorder="1" applyAlignment="1" applyProtection="1">
      <alignment horizontal="right" vertical="center"/>
    </xf>
    <xf numFmtId="4" fontId="2" fillId="2" borderId="6" xfId="0" applyNumberFormat="1" applyFont="1" applyFill="1" applyBorder="1" applyAlignment="1" applyProtection="1">
      <alignment horizontal="right" vertical="center"/>
    </xf>
    <xf numFmtId="10" fontId="12" fillId="2" borderId="11" xfId="2" applyNumberFormat="1" applyFont="1" applyFill="1" applyBorder="1" applyAlignment="1" applyProtection="1">
      <alignment horizontal="right" vertical="center"/>
    </xf>
    <xf numFmtId="0" fontId="4" fillId="2" borderId="12" xfId="0" applyFont="1" applyFill="1" applyBorder="1" applyAlignment="1" applyProtection="1">
      <alignment horizontal="left" vertical="center"/>
    </xf>
    <xf numFmtId="4" fontId="4" fillId="2" borderId="13" xfId="0" applyNumberFormat="1" applyFont="1" applyFill="1" applyBorder="1" applyAlignment="1" applyProtection="1">
      <alignment horizontal="right" vertical="center"/>
    </xf>
    <xf numFmtId="4" fontId="4" fillId="2" borderId="14" xfId="0" applyNumberFormat="1" applyFont="1" applyFill="1" applyBorder="1" applyAlignment="1" applyProtection="1">
      <alignment horizontal="right" vertical="center"/>
    </xf>
    <xf numFmtId="0" fontId="11" fillId="2" borderId="0" xfId="0" applyFont="1" applyFill="1" applyProtection="1"/>
    <xf numFmtId="10" fontId="11" fillId="2" borderId="0" xfId="0" applyNumberFormat="1" applyFont="1" applyFill="1" applyProtection="1"/>
    <xf numFmtId="0" fontId="4" fillId="2" borderId="0" xfId="0" applyFont="1" applyFill="1" applyAlignment="1" applyProtection="1">
      <alignment horizontal="left"/>
    </xf>
    <xf numFmtId="0" fontId="4" fillId="2" borderId="0" xfId="0" applyFont="1" applyFill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2" fillId="2" borderId="15" xfId="0" applyFont="1" applyFill="1" applyBorder="1" applyProtection="1"/>
    <xf numFmtId="0" fontId="2" fillId="2" borderId="0" xfId="0" applyFont="1" applyFill="1" applyBorder="1" applyProtection="1"/>
    <xf numFmtId="0" fontId="13" fillId="2" borderId="0" xfId="0" applyFont="1" applyFill="1" applyProtection="1"/>
    <xf numFmtId="0" fontId="7" fillId="0" borderId="0" xfId="0" applyFont="1" applyProtection="1"/>
    <xf numFmtId="0" fontId="13" fillId="0" borderId="0" xfId="0" applyFont="1" applyProtection="1"/>
    <xf numFmtId="0" fontId="14" fillId="2" borderId="0" xfId="0" applyFont="1" applyFill="1" applyBorder="1" applyAlignment="1" applyProtection="1">
      <alignment horizontal="left" vertical="center"/>
    </xf>
    <xf numFmtId="164" fontId="15" fillId="0" borderId="0" xfId="1" applyFont="1"/>
    <xf numFmtId="0" fontId="14" fillId="0" borderId="0" xfId="0" applyFont="1" applyProtection="1"/>
    <xf numFmtId="164" fontId="16" fillId="0" borderId="0" xfId="1" applyFont="1" applyBorder="1" applyAlignment="1" applyProtection="1">
      <alignment wrapText="1"/>
    </xf>
    <xf numFmtId="4" fontId="2" fillId="0" borderId="0" xfId="0" applyNumberFormat="1" applyFont="1" applyProtection="1"/>
    <xf numFmtId="164" fontId="17" fillId="2" borderId="0" xfId="1" applyFont="1" applyFill="1" applyBorder="1" applyAlignment="1" applyProtection="1"/>
    <xf numFmtId="0" fontId="14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Protection="1"/>
    <xf numFmtId="164" fontId="7" fillId="2" borderId="0" xfId="1" applyFont="1" applyFill="1" applyBorder="1" applyAlignment="1" applyProtection="1"/>
    <xf numFmtId="4" fontId="14" fillId="0" borderId="0" xfId="0" applyNumberFormat="1" applyFont="1" applyProtection="1"/>
    <xf numFmtId="164" fontId="15" fillId="0" borderId="0" xfId="1" applyFont="1" applyBorder="1" applyProtection="1"/>
    <xf numFmtId="0" fontId="19" fillId="2" borderId="3" xfId="0" applyFont="1" applyFill="1" applyBorder="1" applyAlignment="1" applyProtection="1">
      <alignment horizontal="left" vertical="center"/>
    </xf>
  </cellXfs>
  <cellStyles count="5">
    <cellStyle name="Normal" xfId="0" builtinId="0"/>
    <cellStyle name="Normal 3" xfId="3"/>
    <cellStyle name="Normal 5" xfId="4"/>
    <cellStyle name="Porcentagem" xfId="2" builtinId="5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552960</xdr:colOff>
      <xdr:row>0</xdr:row>
      <xdr:rowOff>152280</xdr:rowOff>
    </xdr:from>
    <xdr:to>
      <xdr:col>10</xdr:col>
      <xdr:colOff>1380240</xdr:colOff>
      <xdr:row>6</xdr:row>
      <xdr:rowOff>109800</xdr:rowOff>
    </xdr:to>
    <xdr:sp macro="" textlink="">
      <xdr:nvSpPr>
        <xdr:cNvPr id="2" name="CustomShape 1"/>
        <xdr:cNvSpPr/>
      </xdr:nvSpPr>
      <xdr:spPr>
        <a:xfrm>
          <a:off x="763560" y="152280"/>
          <a:ext cx="19022040" cy="1005120"/>
        </a:xfrm>
        <a:prstGeom prst="rect">
          <a:avLst/>
        </a:prstGeom>
        <a:solidFill>
          <a:srgbClr val="EAEAEA"/>
        </a:solidFill>
        <a:ln w="936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27360" bIns="0">
          <a:noAutofit/>
        </a:bodyPr>
        <a:lstStyle/>
        <a:p>
          <a:pPr algn="ctr">
            <a:lnSpc>
              <a:spcPct val="100000"/>
            </a:lnSpc>
          </a:pP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000" b="1" strike="noStrike" spc="-1">
              <a:solidFill>
                <a:srgbClr val="000000"/>
              </a:solidFill>
              <a:latin typeface="Arial"/>
            </a:rPr>
            <a:t> </a:t>
          </a:r>
          <a:r>
            <a:rPr lang="pt-BR" sz="1400" b="1" strike="noStrike" spc="-1">
              <a:solidFill>
                <a:srgbClr val="000000"/>
              </a:solidFill>
              <a:latin typeface="Arial"/>
            </a:rPr>
            <a:t>CRONOGRAMA DE DESEMBOLSO </a:t>
          </a:r>
          <a:endParaRPr lang="pt-BR" sz="14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pt-BR" sz="14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pt-BR" sz="14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100" b="1" strike="noStrike" spc="-1">
              <a:solidFill>
                <a:srgbClr val="000000"/>
              </a:solidFill>
              <a:latin typeface="Arial"/>
            </a:rPr>
            <a:t> 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>
    <xdr:from>
      <xdr:col>1</xdr:col>
      <xdr:colOff>44640</xdr:colOff>
      <xdr:row>0</xdr:row>
      <xdr:rowOff>136440</xdr:rowOff>
    </xdr:from>
    <xdr:to>
      <xdr:col>10</xdr:col>
      <xdr:colOff>1379880</xdr:colOff>
      <xdr:row>6</xdr:row>
      <xdr:rowOff>109800</xdr:rowOff>
    </xdr:to>
    <xdr:sp macro="" textlink="">
      <xdr:nvSpPr>
        <xdr:cNvPr id="3" name="CustomShape 1"/>
        <xdr:cNvSpPr/>
      </xdr:nvSpPr>
      <xdr:spPr>
        <a:xfrm>
          <a:off x="255240" y="136440"/>
          <a:ext cx="19530000" cy="1020960"/>
        </a:xfrm>
        <a:prstGeom prst="rect">
          <a:avLst/>
        </a:prstGeom>
        <a:solidFill>
          <a:srgbClr val="EAEAEA"/>
        </a:solidFill>
        <a:ln w="936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27360" bIns="0">
          <a:noAutofit/>
        </a:bodyPr>
        <a:lstStyle/>
        <a:p>
          <a:pPr algn="ctr">
            <a:lnSpc>
              <a:spcPts val="1001"/>
            </a:lnSpc>
          </a:pPr>
          <a:endParaRPr lang="pt-BR" sz="1200" b="0" strike="noStrike" spc="-1">
            <a:latin typeface="Times New Roman"/>
          </a:endParaRPr>
        </a:p>
        <a:p>
          <a:pPr algn="ctr">
            <a:lnSpc>
              <a:spcPts val="1001"/>
            </a:lnSpc>
          </a:pPr>
          <a:endParaRPr lang="pt-BR" sz="1200" b="0" strike="noStrike" spc="-1">
            <a:latin typeface="Times New Roman"/>
          </a:endParaRPr>
        </a:p>
        <a:p>
          <a:pPr algn="ctr">
            <a:lnSpc>
              <a:spcPts val="1301"/>
            </a:lnSpc>
          </a:pPr>
          <a:r>
            <a:rPr lang="pt-BR" sz="1000" b="1" strike="noStrike" spc="-1">
              <a:solidFill>
                <a:srgbClr val="000000"/>
              </a:solidFill>
              <a:latin typeface="Arial"/>
            </a:rPr>
            <a:t> </a:t>
          </a:r>
          <a:r>
            <a:rPr lang="pt-BR" sz="1400" b="1" strike="noStrike" spc="-1">
              <a:solidFill>
                <a:srgbClr val="000000"/>
              </a:solidFill>
              <a:latin typeface="Arial"/>
            </a:rPr>
            <a:t>CRONOGRAMA ANUAL DE DESEMBOLSO </a:t>
          </a:r>
          <a:endParaRPr lang="pt-BR" sz="1400" b="0" strike="noStrike" spc="-1">
            <a:latin typeface="Times New Roman"/>
          </a:endParaRPr>
        </a:p>
        <a:p>
          <a:pPr algn="ctr">
            <a:lnSpc>
              <a:spcPts val="1400"/>
            </a:lnSpc>
          </a:pPr>
          <a:r>
            <a:rPr lang="pt-BR" sz="1400" b="1" strike="noStrike" spc="-1">
              <a:solidFill>
                <a:srgbClr val="000000"/>
              </a:solidFill>
              <a:latin typeface="Arial"/>
            </a:rPr>
            <a:t>(Resolução Cofen nº 503/2016, artigo 3º)</a:t>
          </a:r>
          <a:endParaRPr lang="pt-BR" sz="1400" b="0" strike="noStrike" spc="-1">
            <a:latin typeface="Times New Roman"/>
          </a:endParaRPr>
        </a:p>
        <a:p>
          <a:pPr algn="ctr">
            <a:lnSpc>
              <a:spcPts val="1301"/>
            </a:lnSpc>
          </a:pPr>
          <a:endParaRPr lang="pt-BR" sz="1400" b="0" strike="noStrike" spc="-1">
            <a:latin typeface="Times New Roman"/>
          </a:endParaRPr>
        </a:p>
        <a:p>
          <a:pPr algn="ctr">
            <a:lnSpc>
              <a:spcPts val="1100"/>
            </a:lnSpc>
          </a:pPr>
          <a:endParaRPr lang="pt-BR" sz="1400" b="0" strike="noStrike" spc="-1">
            <a:latin typeface="Times New Roman"/>
          </a:endParaRPr>
        </a:p>
        <a:p>
          <a:pPr algn="ctr">
            <a:lnSpc>
              <a:spcPts val="1001"/>
            </a:lnSpc>
          </a:pPr>
          <a:r>
            <a:rPr lang="pt-BR" sz="1100" b="1" strike="noStrike" spc="-1">
              <a:solidFill>
                <a:srgbClr val="000000"/>
              </a:solidFill>
              <a:latin typeface="Arial"/>
            </a:rPr>
            <a:t> 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1209675</xdr:colOff>
      <xdr:row>39</xdr:row>
      <xdr:rowOff>200025</xdr:rowOff>
    </xdr:to>
    <xdr:sp macro="" textlink="">
      <xdr:nvSpPr>
        <xdr:cNvPr id="1028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1209675</xdr:colOff>
      <xdr:row>39</xdr:row>
      <xdr:rowOff>200025</xdr:rowOff>
    </xdr:to>
    <xdr:sp macro="" textlink="">
      <xdr:nvSpPr>
        <xdr:cNvPr id="1026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553320</xdr:colOff>
      <xdr:row>0</xdr:row>
      <xdr:rowOff>152280</xdr:rowOff>
    </xdr:from>
    <xdr:to>
      <xdr:col>10</xdr:col>
      <xdr:colOff>1379880</xdr:colOff>
      <xdr:row>6</xdr:row>
      <xdr:rowOff>109440</xdr:rowOff>
    </xdr:to>
    <xdr:sp macro="" textlink="">
      <xdr:nvSpPr>
        <xdr:cNvPr id="2" name="CustomShape 1"/>
        <xdr:cNvSpPr/>
      </xdr:nvSpPr>
      <xdr:spPr>
        <a:xfrm>
          <a:off x="1162920" y="152280"/>
          <a:ext cx="5541435" cy="928710"/>
        </a:xfrm>
        <a:prstGeom prst="rect">
          <a:avLst/>
        </a:prstGeom>
        <a:solidFill>
          <a:srgbClr val="EAEAEA"/>
        </a:solidFill>
        <a:ln w="936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27360" bIns="0">
          <a:noAutofit/>
        </a:bodyPr>
        <a:lstStyle/>
        <a:p>
          <a:pPr algn="ctr">
            <a:lnSpc>
              <a:spcPct val="100000"/>
            </a:lnSpc>
          </a:pP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000" b="1" strike="noStrike" spc="-1">
              <a:solidFill>
                <a:srgbClr val="000000"/>
              </a:solidFill>
              <a:latin typeface="Arial"/>
            </a:rPr>
            <a:t> </a:t>
          </a:r>
          <a:r>
            <a:rPr lang="pt-BR" sz="1400" b="1" strike="noStrike" spc="-1">
              <a:solidFill>
                <a:srgbClr val="000000"/>
              </a:solidFill>
              <a:latin typeface="Arial"/>
            </a:rPr>
            <a:t>CRONOGRAMA DE DESEMBOLSO </a:t>
          </a:r>
          <a:endParaRPr lang="pt-BR" sz="14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pt-BR" sz="14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pt-BR" sz="14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100" b="1" strike="noStrike" spc="-1">
              <a:solidFill>
                <a:srgbClr val="000000"/>
              </a:solidFill>
              <a:latin typeface="Arial"/>
            </a:rPr>
            <a:t> 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>
    <xdr:from>
      <xdr:col>1</xdr:col>
      <xdr:colOff>45000</xdr:colOff>
      <xdr:row>0</xdr:row>
      <xdr:rowOff>136440</xdr:rowOff>
    </xdr:from>
    <xdr:to>
      <xdr:col>10</xdr:col>
      <xdr:colOff>1379520</xdr:colOff>
      <xdr:row>6</xdr:row>
      <xdr:rowOff>109440</xdr:rowOff>
    </xdr:to>
    <xdr:sp macro="" textlink="">
      <xdr:nvSpPr>
        <xdr:cNvPr id="3" name="CustomShape 1"/>
        <xdr:cNvSpPr/>
      </xdr:nvSpPr>
      <xdr:spPr>
        <a:xfrm>
          <a:off x="654600" y="136440"/>
          <a:ext cx="6049395" cy="944550"/>
        </a:xfrm>
        <a:prstGeom prst="rect">
          <a:avLst/>
        </a:prstGeom>
        <a:solidFill>
          <a:srgbClr val="EAEAEA"/>
        </a:solidFill>
        <a:ln w="936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27360" bIns="0">
          <a:noAutofit/>
        </a:bodyPr>
        <a:lstStyle/>
        <a:p>
          <a:pPr algn="ctr">
            <a:lnSpc>
              <a:spcPts val="1001"/>
            </a:lnSpc>
          </a:pPr>
          <a:endParaRPr lang="pt-BR" sz="1200" b="0" strike="noStrike" spc="-1">
            <a:latin typeface="Times New Roman"/>
          </a:endParaRPr>
        </a:p>
        <a:p>
          <a:pPr algn="ctr">
            <a:lnSpc>
              <a:spcPts val="1001"/>
            </a:lnSpc>
          </a:pPr>
          <a:endParaRPr lang="pt-BR" sz="1200" b="0" strike="noStrike" spc="-1">
            <a:latin typeface="Times New Roman"/>
          </a:endParaRPr>
        </a:p>
        <a:p>
          <a:pPr algn="ctr">
            <a:lnSpc>
              <a:spcPts val="1301"/>
            </a:lnSpc>
          </a:pPr>
          <a:r>
            <a:rPr lang="pt-BR" sz="1000" b="1" strike="noStrike" spc="-1">
              <a:solidFill>
                <a:srgbClr val="000000"/>
              </a:solidFill>
              <a:latin typeface="Arial"/>
            </a:rPr>
            <a:t> </a:t>
          </a:r>
          <a:r>
            <a:rPr lang="pt-BR" sz="1400" b="1" strike="noStrike" spc="-1">
              <a:solidFill>
                <a:srgbClr val="000000"/>
              </a:solidFill>
              <a:latin typeface="Arial"/>
            </a:rPr>
            <a:t>CRONOGRAMA ANUAL DE DESEMBOLSO </a:t>
          </a:r>
          <a:endParaRPr lang="pt-BR" sz="1400" b="0" strike="noStrike" spc="-1">
            <a:latin typeface="Times New Roman"/>
          </a:endParaRPr>
        </a:p>
        <a:p>
          <a:pPr algn="ctr">
            <a:lnSpc>
              <a:spcPts val="1400"/>
            </a:lnSpc>
          </a:pPr>
          <a:r>
            <a:rPr lang="pt-BR" sz="1400" b="1" strike="noStrike" spc="-1">
              <a:solidFill>
                <a:srgbClr val="000000"/>
              </a:solidFill>
              <a:latin typeface="Arial"/>
            </a:rPr>
            <a:t>(Resolução Cofen nº 503/2016, artigo 3º)</a:t>
          </a:r>
          <a:endParaRPr lang="pt-BR" sz="1400" b="0" strike="noStrike" spc="-1">
            <a:latin typeface="Times New Roman"/>
          </a:endParaRPr>
        </a:p>
        <a:p>
          <a:pPr algn="ctr">
            <a:lnSpc>
              <a:spcPts val="1301"/>
            </a:lnSpc>
          </a:pPr>
          <a:endParaRPr lang="pt-BR" sz="1400" b="0" strike="noStrike" spc="-1">
            <a:latin typeface="Times New Roman"/>
          </a:endParaRPr>
        </a:p>
        <a:p>
          <a:pPr algn="ctr">
            <a:lnSpc>
              <a:spcPts val="1100"/>
            </a:lnSpc>
          </a:pPr>
          <a:endParaRPr lang="pt-BR" sz="1400" b="0" strike="noStrike" spc="-1">
            <a:latin typeface="Times New Roman"/>
          </a:endParaRPr>
        </a:p>
        <a:p>
          <a:pPr algn="ctr">
            <a:lnSpc>
              <a:spcPts val="1001"/>
            </a:lnSpc>
          </a:pPr>
          <a:r>
            <a:rPr lang="pt-BR" sz="1100" b="1" strike="noStrike" spc="-1">
              <a:solidFill>
                <a:srgbClr val="000000"/>
              </a:solidFill>
              <a:latin typeface="Arial"/>
            </a:rPr>
            <a:t> </a:t>
          </a:r>
          <a:endParaRPr lang="pt-BR" sz="11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MK82"/>
  <sheetViews>
    <sheetView showGridLines="0" tabSelected="1" topLeftCell="B1" zoomScale="60" zoomScaleNormal="60" workbookViewId="0">
      <selection activeCell="B10" sqref="B10"/>
    </sheetView>
  </sheetViews>
  <sheetFormatPr defaultRowHeight="18.75" x14ac:dyDescent="0.3"/>
  <cols>
    <col min="1" max="1" width="3" style="4" customWidth="1"/>
    <col min="2" max="2" width="76.28515625" style="4" customWidth="1"/>
    <col min="3" max="10" width="22.7109375" style="4" customWidth="1"/>
    <col min="11" max="11" width="27.140625" style="4" customWidth="1"/>
    <col min="12" max="19" width="22.7109375" style="4" customWidth="1"/>
    <col min="20" max="20" width="16.140625" style="4" customWidth="1"/>
    <col min="21" max="21" width="14.5703125" style="4" customWidth="1"/>
    <col min="22" max="22" width="17" style="4" customWidth="1"/>
    <col min="23" max="23" width="14.42578125" style="5" customWidth="1"/>
    <col min="24" max="1025" width="9.140625" style="4" customWidth="1"/>
  </cols>
  <sheetData>
    <row r="1" spans="1:23" x14ac:dyDescent="0.3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7"/>
    </row>
    <row r="2" spans="1:23" ht="12.75" customHeight="1" x14ac:dyDescent="0.3">
      <c r="A2" s="6"/>
      <c r="B2" s="6"/>
      <c r="C2" s="6" t="s">
        <v>0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8"/>
      <c r="U2" s="8"/>
      <c r="V2" s="9"/>
      <c r="W2" s="7"/>
    </row>
    <row r="3" spans="1:23" ht="12.75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10"/>
      <c r="U3" s="10"/>
      <c r="W3" s="7"/>
    </row>
    <row r="4" spans="1:23" ht="12.75" customHeigh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10"/>
      <c r="U4" s="10"/>
      <c r="W4" s="7"/>
    </row>
    <row r="5" spans="1:23" ht="12.75" customHeight="1" x14ac:dyDescent="0.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10"/>
      <c r="U5" s="10"/>
      <c r="W5" s="7"/>
    </row>
    <row r="6" spans="1:23" ht="12.75" customHeight="1" x14ac:dyDescent="0.3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3"/>
      <c r="U6" s="3"/>
      <c r="V6" s="10"/>
      <c r="W6" s="7"/>
    </row>
    <row r="7" spans="1:23" ht="13.15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7"/>
    </row>
    <row r="8" spans="1:23" ht="31.5" customHeight="1" x14ac:dyDescent="0.3">
      <c r="A8" s="6"/>
      <c r="B8" s="11" t="s">
        <v>1</v>
      </c>
      <c r="C8" s="2"/>
      <c r="D8" s="2"/>
      <c r="E8" s="2"/>
      <c r="F8" s="2"/>
      <c r="G8" s="2"/>
      <c r="H8" s="2"/>
      <c r="I8" s="2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2"/>
      <c r="W8" s="7"/>
    </row>
    <row r="9" spans="1:23" ht="19.5" customHeight="1" x14ac:dyDescent="0.3">
      <c r="A9" s="6"/>
      <c r="B9" s="13" t="s">
        <v>2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4"/>
      <c r="W9" s="7"/>
    </row>
    <row r="10" spans="1:23" ht="13.15" customHeight="1" x14ac:dyDescent="0.3">
      <c r="A10" s="6"/>
      <c r="B10" s="1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7"/>
    </row>
    <row r="11" spans="1:23" x14ac:dyDescent="0.3">
      <c r="A11" s="6"/>
      <c r="B11" s="16">
        <v>21488979.920000002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8"/>
      <c r="V11" s="19"/>
      <c r="W11" s="7"/>
    </row>
    <row r="12" spans="1:23" s="4" customFormat="1" ht="18.75" customHeight="1" x14ac:dyDescent="0.3">
      <c r="A12" s="6"/>
      <c r="B12" s="20" t="s">
        <v>3</v>
      </c>
      <c r="C12" s="1" t="s">
        <v>4</v>
      </c>
      <c r="D12" s="1"/>
      <c r="E12" s="1"/>
      <c r="F12" s="1"/>
      <c r="G12" s="1"/>
      <c r="H12" s="1"/>
      <c r="I12" s="1"/>
      <c r="J12" s="1"/>
      <c r="K12" s="1"/>
    </row>
    <row r="13" spans="1:23" s="4" customFormat="1" x14ac:dyDescent="0.3">
      <c r="A13" s="6"/>
      <c r="B13" s="21" t="s">
        <v>5</v>
      </c>
      <c r="C13" s="22" t="s">
        <v>6</v>
      </c>
      <c r="D13" s="23" t="s">
        <v>7</v>
      </c>
      <c r="E13" s="23" t="s">
        <v>8</v>
      </c>
      <c r="F13" s="23" t="s">
        <v>9</v>
      </c>
      <c r="G13" s="23" t="s">
        <v>10</v>
      </c>
      <c r="H13" s="23" t="s">
        <v>11</v>
      </c>
      <c r="I13" s="23" t="s">
        <v>12</v>
      </c>
      <c r="J13" s="23" t="s">
        <v>13</v>
      </c>
      <c r="K13" s="24" t="s">
        <v>14</v>
      </c>
    </row>
    <row r="14" spans="1:23" s="4" customFormat="1" x14ac:dyDescent="0.3">
      <c r="A14" s="6"/>
      <c r="B14" s="25" t="s">
        <v>15</v>
      </c>
      <c r="C14" s="26">
        <f>B11*22.48%</f>
        <v>4830722.6860160008</v>
      </c>
      <c r="D14" s="26">
        <f>B11*14.91%</f>
        <v>3204006.9060720005</v>
      </c>
      <c r="E14" s="26">
        <f>B11*21.43%</f>
        <v>4605088.3968559997</v>
      </c>
      <c r="F14" s="27">
        <f>SUM(C14:E14)</f>
        <v>12639817.988944001</v>
      </c>
      <c r="G14" s="28">
        <f>B11*5.74%</f>
        <v>1233467.447408</v>
      </c>
      <c r="H14" s="28">
        <f>B11*6.21%</f>
        <v>1334465.6530320002</v>
      </c>
      <c r="I14" s="28">
        <f>B11*5.13%</f>
        <v>1102384.6698960001</v>
      </c>
      <c r="J14" s="27">
        <f>SUM(G14:I14)</f>
        <v>3670317.7703360002</v>
      </c>
      <c r="K14" s="29">
        <f>SUM(J14,F14)</f>
        <v>16310135.759280002</v>
      </c>
    </row>
    <row r="15" spans="1:23" s="4" customFormat="1" x14ac:dyDescent="0.3">
      <c r="A15" s="6"/>
      <c r="B15" s="25" t="s">
        <v>16</v>
      </c>
      <c r="C15" s="26">
        <v>0</v>
      </c>
      <c r="D15" s="26">
        <v>0</v>
      </c>
      <c r="E15" s="26">
        <v>0</v>
      </c>
      <c r="F15" s="27">
        <f>SUM(C15:E15)</f>
        <v>0</v>
      </c>
      <c r="G15" s="28">
        <v>0</v>
      </c>
      <c r="H15" s="28">
        <v>0</v>
      </c>
      <c r="I15" s="28">
        <v>0</v>
      </c>
      <c r="J15" s="27">
        <f>SUM(G15:I15)</f>
        <v>0</v>
      </c>
      <c r="K15" s="29">
        <f>SUM(J15,F15)</f>
        <v>0</v>
      </c>
    </row>
    <row r="16" spans="1:23" s="4" customFormat="1" x14ac:dyDescent="0.3">
      <c r="A16" s="6"/>
      <c r="B16" s="30" t="s">
        <v>17</v>
      </c>
      <c r="C16" s="31">
        <f>SUM(C14:C15)</f>
        <v>4830722.6860160008</v>
      </c>
      <c r="D16" s="31">
        <f>SUM(D14:D15)</f>
        <v>3204006.9060720005</v>
      </c>
      <c r="E16" s="31">
        <f>SUM(E14:E15)</f>
        <v>4605088.3968559997</v>
      </c>
      <c r="F16" s="27">
        <f>SUM(C16:E16)</f>
        <v>12639817.988944001</v>
      </c>
      <c r="G16" s="31">
        <f>SUM(G14:G15)</f>
        <v>1233467.447408</v>
      </c>
      <c r="H16" s="31">
        <f>SUM(H14:H15)</f>
        <v>1334465.6530320002</v>
      </c>
      <c r="I16" s="31">
        <f>SUM(I14:I15)</f>
        <v>1102384.6698960001</v>
      </c>
      <c r="J16" s="27">
        <f>SUM(G16:I16)</f>
        <v>3670317.7703360002</v>
      </c>
      <c r="K16" s="29">
        <f>F16+J16</f>
        <v>16310135.759280002</v>
      </c>
    </row>
    <row r="17" spans="1:11" s="35" customFormat="1" x14ac:dyDescent="0.3">
      <c r="A17" s="6"/>
      <c r="B17" s="32" t="s">
        <v>18</v>
      </c>
      <c r="C17" s="33">
        <f t="shared" ref="C17:K17" si="0">C16/$K$39</f>
        <v>0.22480000000000003</v>
      </c>
      <c r="D17" s="33">
        <f t="shared" si="0"/>
        <v>0.14910000000000001</v>
      </c>
      <c r="E17" s="33">
        <f t="shared" si="0"/>
        <v>0.21429999999999996</v>
      </c>
      <c r="F17" s="33">
        <f t="shared" si="0"/>
        <v>0.58820000000000006</v>
      </c>
      <c r="G17" s="33">
        <f t="shared" si="0"/>
        <v>5.7399999999999993E-2</v>
      </c>
      <c r="H17" s="33">
        <f t="shared" si="0"/>
        <v>6.2100000000000002E-2</v>
      </c>
      <c r="I17" s="33">
        <f t="shared" si="0"/>
        <v>5.1299999999999998E-2</v>
      </c>
      <c r="J17" s="33">
        <f t="shared" si="0"/>
        <v>0.17080000000000001</v>
      </c>
      <c r="K17" s="34">
        <f t="shared" si="0"/>
        <v>0.75900000000000001</v>
      </c>
    </row>
    <row r="18" spans="1:11" s="4" customFormat="1" ht="24.95" customHeight="1" x14ac:dyDescent="0.3">
      <c r="A18" s="6"/>
      <c r="B18" s="36" t="s">
        <v>19</v>
      </c>
      <c r="C18" s="27">
        <f>C19+C20+C21+C22+C23</f>
        <v>1776155.5941666665</v>
      </c>
      <c r="D18" s="27">
        <f>D19+D20+D21+D22+D23</f>
        <v>1776155.5941666665</v>
      </c>
      <c r="E18" s="27">
        <f>E19+E20+E21+E22+E23</f>
        <v>1776155.5941666665</v>
      </c>
      <c r="F18" s="27">
        <f t="shared" ref="F18:F27" si="1">SUM(C18:E18)</f>
        <v>5328466.7824999997</v>
      </c>
      <c r="G18" s="27">
        <f>G19+G20+G21+G22+G23</f>
        <v>1776155.5941666665</v>
      </c>
      <c r="H18" s="27">
        <f>H19+H20+H21+H22+H23</f>
        <v>1776155.5941666665</v>
      </c>
      <c r="I18" s="27">
        <f>I19+I20+I21+I22+I23</f>
        <v>1776155.5941666665</v>
      </c>
      <c r="J18" s="27">
        <f t="shared" ref="J18:J29" si="2">SUM(G18:I18)</f>
        <v>5328466.7824999997</v>
      </c>
      <c r="K18" s="29">
        <f>SUM(J18,F18,)</f>
        <v>10656933.564999999</v>
      </c>
    </row>
    <row r="19" spans="1:11" s="4" customFormat="1" ht="20.100000000000001" customHeight="1" x14ac:dyDescent="0.3">
      <c r="A19" s="6"/>
      <c r="B19" s="25" t="s">
        <v>20</v>
      </c>
      <c r="C19" s="28">
        <f>C58/12</f>
        <v>662235.09250000003</v>
      </c>
      <c r="D19" s="28">
        <f>C58/12</f>
        <v>662235.09250000003</v>
      </c>
      <c r="E19" s="28">
        <f>C58/12</f>
        <v>662235.09250000003</v>
      </c>
      <c r="F19" s="37">
        <f t="shared" si="1"/>
        <v>1986705.2775000001</v>
      </c>
      <c r="G19" s="28">
        <f>$E$19</f>
        <v>662235.09250000003</v>
      </c>
      <c r="H19" s="28">
        <f>$E$19</f>
        <v>662235.09250000003</v>
      </c>
      <c r="I19" s="28">
        <f>$E$19</f>
        <v>662235.09250000003</v>
      </c>
      <c r="J19" s="28">
        <f t="shared" si="2"/>
        <v>1986705.2775000001</v>
      </c>
      <c r="K19" s="38">
        <f>SUM(J19,F19,)</f>
        <v>3973410.5550000002</v>
      </c>
    </row>
    <row r="20" spans="1:11" s="4" customFormat="1" ht="20.100000000000001" customHeight="1" x14ac:dyDescent="0.3">
      <c r="A20" s="6"/>
      <c r="B20" s="25" t="s">
        <v>21</v>
      </c>
      <c r="C20" s="28">
        <f>C59/12</f>
        <v>0</v>
      </c>
      <c r="D20" s="28">
        <f>$C$20</f>
        <v>0</v>
      </c>
      <c r="E20" s="28">
        <f>$C$20</f>
        <v>0</v>
      </c>
      <c r="F20" s="37">
        <f t="shared" si="1"/>
        <v>0</v>
      </c>
      <c r="G20" s="28">
        <f>$C$20</f>
        <v>0</v>
      </c>
      <c r="H20" s="28">
        <f>$C$20</f>
        <v>0</v>
      </c>
      <c r="I20" s="28">
        <f>$C$20</f>
        <v>0</v>
      </c>
      <c r="J20" s="28">
        <f t="shared" si="2"/>
        <v>0</v>
      </c>
      <c r="K20" s="29">
        <f>SUM(J20,F20,)</f>
        <v>0</v>
      </c>
    </row>
    <row r="21" spans="1:11" s="4" customFormat="1" ht="20.100000000000001" customHeight="1" x14ac:dyDescent="0.3">
      <c r="A21" s="6"/>
      <c r="B21" s="25" t="s">
        <v>22</v>
      </c>
      <c r="C21" s="28">
        <f>C60/12</f>
        <v>44815.704999999994</v>
      </c>
      <c r="D21" s="28">
        <f>$C$21</f>
        <v>44815.704999999994</v>
      </c>
      <c r="E21" s="28">
        <f>$C$21</f>
        <v>44815.704999999994</v>
      </c>
      <c r="F21" s="37">
        <f t="shared" si="1"/>
        <v>134447.11499999999</v>
      </c>
      <c r="G21" s="28">
        <f>$C$21</f>
        <v>44815.704999999994</v>
      </c>
      <c r="H21" s="28">
        <f>$C$21</f>
        <v>44815.704999999994</v>
      </c>
      <c r="I21" s="28">
        <f>$C$21</f>
        <v>44815.704999999994</v>
      </c>
      <c r="J21" s="28">
        <f t="shared" si="2"/>
        <v>134447.11499999999</v>
      </c>
      <c r="K21" s="29">
        <f>SUM(J21,F21,)</f>
        <v>268894.23</v>
      </c>
    </row>
    <row r="22" spans="1:11" s="4" customFormat="1" ht="20.100000000000001" customHeight="1" x14ac:dyDescent="0.3">
      <c r="B22" s="25" t="s">
        <v>23</v>
      </c>
      <c r="C22" s="28">
        <f>C61/12</f>
        <v>12810.416666666666</v>
      </c>
      <c r="D22" s="28">
        <f>$C$22</f>
        <v>12810.416666666666</v>
      </c>
      <c r="E22" s="28">
        <f>$C$22</f>
        <v>12810.416666666666</v>
      </c>
      <c r="F22" s="37">
        <f t="shared" si="1"/>
        <v>38431.25</v>
      </c>
      <c r="G22" s="28">
        <f>$C$22</f>
        <v>12810.416666666666</v>
      </c>
      <c r="H22" s="28">
        <f>$C$22</f>
        <v>12810.416666666666</v>
      </c>
      <c r="I22" s="28">
        <f>$C$22</f>
        <v>12810.416666666666</v>
      </c>
      <c r="J22" s="28">
        <f t="shared" si="2"/>
        <v>38431.25</v>
      </c>
      <c r="K22" s="29">
        <f>SUM(J22,F22,)</f>
        <v>76862.5</v>
      </c>
    </row>
    <row r="23" spans="1:11" s="4" customFormat="1" ht="20.100000000000001" customHeight="1" x14ac:dyDescent="0.3">
      <c r="B23" s="25" t="s">
        <v>24</v>
      </c>
      <c r="C23" s="28">
        <f>C62/12</f>
        <v>1056294.3799999999</v>
      </c>
      <c r="D23" s="28">
        <f>$C$23</f>
        <v>1056294.3799999999</v>
      </c>
      <c r="E23" s="28">
        <f>$C$23</f>
        <v>1056294.3799999999</v>
      </c>
      <c r="F23" s="37">
        <f t="shared" si="1"/>
        <v>3168883.1399999997</v>
      </c>
      <c r="G23" s="28">
        <f>$C$23</f>
        <v>1056294.3799999999</v>
      </c>
      <c r="H23" s="28">
        <f>$C$23</f>
        <v>1056294.3799999999</v>
      </c>
      <c r="I23" s="28">
        <f>$C$23</f>
        <v>1056294.3799999999</v>
      </c>
      <c r="J23" s="28">
        <f t="shared" si="2"/>
        <v>3168883.1399999997</v>
      </c>
      <c r="K23" s="29">
        <f>SUM(J23,F23)</f>
        <v>6337766.2799999993</v>
      </c>
    </row>
    <row r="24" spans="1:11" s="4" customFormat="1" ht="24.95" customHeight="1" x14ac:dyDescent="0.3">
      <c r="A24" s="6"/>
      <c r="B24" s="36" t="s">
        <v>25</v>
      </c>
      <c r="C24" s="37">
        <f>C25+C28</f>
        <v>6259.399166666667</v>
      </c>
      <c r="D24" s="37">
        <f>D25</f>
        <v>6259.399166666667</v>
      </c>
      <c r="E24" s="37">
        <f>E25</f>
        <v>6259.399166666667</v>
      </c>
      <c r="F24" s="37">
        <f t="shared" si="1"/>
        <v>18778.197500000002</v>
      </c>
      <c r="G24" s="37">
        <f>G25</f>
        <v>6259.399166666667</v>
      </c>
      <c r="H24" s="37">
        <f>H25</f>
        <v>6259.399166666667</v>
      </c>
      <c r="I24" s="37">
        <f>I25</f>
        <v>6259.399166666667</v>
      </c>
      <c r="J24" s="37">
        <f t="shared" si="2"/>
        <v>18778.197500000002</v>
      </c>
      <c r="K24" s="29">
        <f>SUM(J24,F24,)</f>
        <v>37556.395000000004</v>
      </c>
    </row>
    <row r="25" spans="1:11" s="4" customFormat="1" ht="20.100000000000001" customHeight="1" x14ac:dyDescent="0.3">
      <c r="A25" s="6"/>
      <c r="B25" s="25" t="s">
        <v>26</v>
      </c>
      <c r="C25" s="28">
        <f>SUM(C26:C27)</f>
        <v>6259.399166666667</v>
      </c>
      <c r="D25" s="28">
        <f>SUM(D26:D28)</f>
        <v>6259.399166666667</v>
      </c>
      <c r="E25" s="28">
        <f>SUM(E26:E28)</f>
        <v>6259.399166666667</v>
      </c>
      <c r="F25" s="28">
        <f t="shared" si="1"/>
        <v>18778.197500000002</v>
      </c>
      <c r="G25" s="28">
        <f>SUM(G26:G28)</f>
        <v>6259.399166666667</v>
      </c>
      <c r="H25" s="28">
        <f>SUM(H26:H28)</f>
        <v>6259.399166666667</v>
      </c>
      <c r="I25" s="28">
        <f>SUM(I26:I28)</f>
        <v>6259.399166666667</v>
      </c>
      <c r="J25" s="28">
        <f t="shared" si="2"/>
        <v>18778.197500000002</v>
      </c>
      <c r="K25" s="38">
        <f t="shared" ref="K25:K30" si="3">SUM(J25,F25)</f>
        <v>37556.395000000004</v>
      </c>
    </row>
    <row r="26" spans="1:11" s="4" customFormat="1" ht="20.100000000000001" customHeight="1" x14ac:dyDescent="0.3">
      <c r="B26" s="25" t="s">
        <v>27</v>
      </c>
      <c r="C26" s="28">
        <f>C63/12</f>
        <v>1666.6666666666667</v>
      </c>
      <c r="D26" s="28">
        <f>$C$26</f>
        <v>1666.6666666666667</v>
      </c>
      <c r="E26" s="28">
        <f>$C$26</f>
        <v>1666.6666666666667</v>
      </c>
      <c r="F26" s="28">
        <f t="shared" si="1"/>
        <v>5000</v>
      </c>
      <c r="G26" s="28">
        <f>$C$26</f>
        <v>1666.6666666666667</v>
      </c>
      <c r="H26" s="28">
        <f>$C$26</f>
        <v>1666.6666666666667</v>
      </c>
      <c r="I26" s="28">
        <f>$C$26</f>
        <v>1666.6666666666667</v>
      </c>
      <c r="J26" s="28">
        <f t="shared" si="2"/>
        <v>5000</v>
      </c>
      <c r="K26" s="29">
        <f t="shared" si="3"/>
        <v>10000</v>
      </c>
    </row>
    <row r="27" spans="1:11" s="4" customFormat="1" ht="20.100000000000001" customHeight="1" x14ac:dyDescent="0.3">
      <c r="B27" s="25" t="s">
        <v>28</v>
      </c>
      <c r="C27" s="28">
        <f>C64/12</f>
        <v>4592.7325000000001</v>
      </c>
      <c r="D27" s="28">
        <f>$C$27</f>
        <v>4592.7325000000001</v>
      </c>
      <c r="E27" s="28">
        <f>$C$27</f>
        <v>4592.7325000000001</v>
      </c>
      <c r="F27" s="28">
        <f t="shared" si="1"/>
        <v>13778.1975</v>
      </c>
      <c r="G27" s="28">
        <f>$C$27</f>
        <v>4592.7325000000001</v>
      </c>
      <c r="H27" s="28">
        <f>$C$27</f>
        <v>4592.7325000000001</v>
      </c>
      <c r="I27" s="28">
        <f>$C$27</f>
        <v>4592.7325000000001</v>
      </c>
      <c r="J27" s="28">
        <f t="shared" si="2"/>
        <v>13778.1975</v>
      </c>
      <c r="K27" s="29">
        <f t="shared" si="3"/>
        <v>27556.395</v>
      </c>
    </row>
    <row r="28" spans="1:11" s="4" customFormat="1" ht="20.100000000000001" customHeight="1" x14ac:dyDescent="0.3">
      <c r="B28" s="25" t="s">
        <v>29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37">
        <f t="shared" si="2"/>
        <v>0</v>
      </c>
      <c r="K28" s="29">
        <f t="shared" si="3"/>
        <v>0</v>
      </c>
    </row>
    <row r="29" spans="1:11" s="4" customFormat="1" ht="24.95" customHeight="1" x14ac:dyDescent="0.3">
      <c r="A29" s="6"/>
      <c r="B29" s="36" t="s">
        <v>30</v>
      </c>
      <c r="C29" s="37">
        <v>0</v>
      </c>
      <c r="D29" s="37">
        <v>0</v>
      </c>
      <c r="E29" s="37">
        <v>0</v>
      </c>
      <c r="F29" s="37">
        <f>SUM(C29:E29)</f>
        <v>0</v>
      </c>
      <c r="G29" s="37">
        <v>0</v>
      </c>
      <c r="H29" s="37">
        <v>0</v>
      </c>
      <c r="I29" s="37">
        <v>0</v>
      </c>
      <c r="J29" s="37">
        <f t="shared" si="2"/>
        <v>0</v>
      </c>
      <c r="K29" s="29">
        <f t="shared" si="3"/>
        <v>0</v>
      </c>
    </row>
    <row r="30" spans="1:11" s="4" customFormat="1" ht="20.100000000000001" customHeight="1" x14ac:dyDescent="0.3">
      <c r="B30" s="30" t="s">
        <v>31</v>
      </c>
      <c r="C30" s="31">
        <f>C18+C24</f>
        <v>1782414.9933333332</v>
      </c>
      <c r="D30" s="31">
        <f>D18+D24</f>
        <v>1782414.9933333332</v>
      </c>
      <c r="E30" s="31">
        <f>E18+E24</f>
        <v>1782414.9933333332</v>
      </c>
      <c r="F30" s="31">
        <f>F18+F24+F29</f>
        <v>5347244.9799999995</v>
      </c>
      <c r="G30" s="31">
        <f>G18+G24</f>
        <v>1782414.9933333332</v>
      </c>
      <c r="H30" s="31">
        <f>H18+H24</f>
        <v>1782414.9933333332</v>
      </c>
      <c r="I30" s="31">
        <f>I18+I24</f>
        <v>1782414.9933333332</v>
      </c>
      <c r="J30" s="31">
        <f>J18+J24+F29</f>
        <v>5347244.9799999995</v>
      </c>
      <c r="K30" s="29">
        <f t="shared" si="3"/>
        <v>10694489.959999999</v>
      </c>
    </row>
    <row r="31" spans="1:11" s="35" customFormat="1" x14ac:dyDescent="0.3">
      <c r="A31" s="6"/>
      <c r="B31" s="32" t="s">
        <v>18</v>
      </c>
      <c r="C31" s="33">
        <f t="shared" ref="C31:K31" si="4">C30/$K$53</f>
        <v>8.2945537664839197E-2</v>
      </c>
      <c r="D31" s="33">
        <f t="shared" si="4"/>
        <v>8.2945537664839197E-2</v>
      </c>
      <c r="E31" s="33">
        <f t="shared" si="4"/>
        <v>8.2945537664839197E-2</v>
      </c>
      <c r="F31" s="33">
        <f t="shared" si="4"/>
        <v>0.24883661299451762</v>
      </c>
      <c r="G31" s="33">
        <f t="shared" si="4"/>
        <v>8.2945537664839197E-2</v>
      </c>
      <c r="H31" s="33">
        <f t="shared" si="4"/>
        <v>8.2945537664839197E-2</v>
      </c>
      <c r="I31" s="33">
        <f t="shared" si="4"/>
        <v>8.2945537664839197E-2</v>
      </c>
      <c r="J31" s="33">
        <f t="shared" si="4"/>
        <v>0.24883661299451762</v>
      </c>
      <c r="K31" s="39">
        <f t="shared" si="4"/>
        <v>0.49767322598903524</v>
      </c>
    </row>
    <row r="32" spans="1:11" s="4" customFormat="1" ht="24.95" customHeight="1" x14ac:dyDescent="0.3">
      <c r="A32" s="6"/>
      <c r="B32" s="40" t="s">
        <v>32</v>
      </c>
      <c r="C32" s="41">
        <f>C16-C30</f>
        <v>3048307.6926826676</v>
      </c>
      <c r="D32" s="41">
        <f>(C32+D16)-D30</f>
        <v>4469899.6054213354</v>
      </c>
      <c r="E32" s="41">
        <f>(D32+E16)-E30</f>
        <v>7292573.008944002</v>
      </c>
      <c r="F32" s="41">
        <v>0</v>
      </c>
      <c r="G32" s="41">
        <f>(E32+G16)-G30</f>
        <v>6743625.4630186697</v>
      </c>
      <c r="H32" s="41">
        <f>(G32+H16)-H30</f>
        <v>6295676.1227173368</v>
      </c>
      <c r="I32" s="41">
        <f>(H32+I16)-I30</f>
        <v>5615645.7992800036</v>
      </c>
      <c r="J32" s="41">
        <v>0</v>
      </c>
      <c r="K32" s="42">
        <f>SUM(J32,F32)</f>
        <v>0</v>
      </c>
    </row>
    <row r="33" spans="1:23" s="35" customFormat="1" x14ac:dyDescent="0.3">
      <c r="A33" s="43"/>
      <c r="B33" s="43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3"/>
      <c r="V33" s="43"/>
      <c r="W33" s="43"/>
    </row>
    <row r="34" spans="1:23" s="4" customFormat="1" x14ac:dyDescent="0.3">
      <c r="A34" s="6"/>
      <c r="B34" s="45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5"/>
      <c r="T34" s="6"/>
      <c r="U34" s="6"/>
      <c r="V34" s="7"/>
    </row>
    <row r="35" spans="1:23" s="4" customFormat="1" x14ac:dyDescent="0.3">
      <c r="A35" s="6"/>
      <c r="B35" s="20" t="s">
        <v>3</v>
      </c>
      <c r="C35" s="1" t="s">
        <v>4</v>
      </c>
      <c r="D35" s="1"/>
      <c r="E35" s="1"/>
      <c r="F35" s="1"/>
      <c r="G35" s="1"/>
      <c r="H35" s="1"/>
      <c r="I35" s="1"/>
      <c r="J35" s="1"/>
      <c r="K35" s="1"/>
      <c r="L35" s="47"/>
      <c r="M35" s="47"/>
      <c r="N35" s="47"/>
      <c r="O35" s="47"/>
      <c r="P35" s="47"/>
      <c r="Q35" s="47"/>
      <c r="R35" s="47"/>
      <c r="T35" s="6"/>
      <c r="U35" s="6"/>
      <c r="V35" s="5"/>
    </row>
    <row r="36" spans="1:23" s="4" customFormat="1" x14ac:dyDescent="0.3">
      <c r="A36" s="6"/>
      <c r="B36" s="21" t="s">
        <v>5</v>
      </c>
      <c r="C36" s="23" t="s">
        <v>33</v>
      </c>
      <c r="D36" s="23" t="s">
        <v>34</v>
      </c>
      <c r="E36" s="23" t="s">
        <v>35</v>
      </c>
      <c r="F36" s="23" t="s">
        <v>36</v>
      </c>
      <c r="G36" s="23" t="s">
        <v>37</v>
      </c>
      <c r="H36" s="23" t="s">
        <v>38</v>
      </c>
      <c r="I36" s="23" t="s">
        <v>39</v>
      </c>
      <c r="J36" s="23" t="s">
        <v>40</v>
      </c>
      <c r="K36" s="24" t="s">
        <v>41</v>
      </c>
      <c r="L36" s="47"/>
      <c r="M36" s="47"/>
      <c r="N36" s="47"/>
      <c r="O36" s="47"/>
      <c r="P36" s="47"/>
      <c r="Q36" s="47"/>
      <c r="R36" s="47"/>
      <c r="T36" s="6"/>
      <c r="U36" s="6"/>
      <c r="V36" s="5"/>
    </row>
    <row r="37" spans="1:23" s="4" customFormat="1" x14ac:dyDescent="0.3">
      <c r="A37" s="6"/>
      <c r="B37" s="25" t="s">
        <v>15</v>
      </c>
      <c r="C37" s="28">
        <f>B11*5.23%</f>
        <v>1123873.6498160001</v>
      </c>
      <c r="D37" s="28">
        <f>B11*5.95%</f>
        <v>1278594.3052400001</v>
      </c>
      <c r="E37" s="28">
        <f>B11*4.76%</f>
        <v>1022875.444192</v>
      </c>
      <c r="F37" s="27">
        <f>SUM(C37:E37)</f>
        <v>3425343.3992480002</v>
      </c>
      <c r="G37" s="28">
        <f>B11*2.34%</f>
        <v>502842.13012799999</v>
      </c>
      <c r="H37" s="28">
        <f>B11*2.33%</f>
        <v>500693.23213600006</v>
      </c>
      <c r="I37" s="28">
        <f>B11*3.49%</f>
        <v>749965.39920800005</v>
      </c>
      <c r="J37" s="27">
        <f>SUM(G37:I37)</f>
        <v>1753500.7614720003</v>
      </c>
      <c r="K37" s="29">
        <f>SUM(J37,F37,J14,F14)</f>
        <v>21488979.920000002</v>
      </c>
      <c r="L37" s="47"/>
      <c r="M37" s="47"/>
      <c r="N37" s="47"/>
      <c r="O37" s="47"/>
      <c r="P37" s="47"/>
      <c r="Q37" s="47"/>
      <c r="R37" s="47"/>
      <c r="T37" s="6"/>
      <c r="U37" s="6"/>
      <c r="V37" s="5"/>
    </row>
    <row r="38" spans="1:23" s="4" customFormat="1" x14ac:dyDescent="0.3">
      <c r="B38" s="25" t="s">
        <v>16</v>
      </c>
      <c r="C38" s="28">
        <v>0</v>
      </c>
      <c r="D38" s="28">
        <v>0</v>
      </c>
      <c r="E38" s="28">
        <v>0</v>
      </c>
      <c r="F38" s="27">
        <f>SUM(C38:E38)</f>
        <v>0</v>
      </c>
      <c r="G38" s="28">
        <v>0</v>
      </c>
      <c r="H38" s="28">
        <v>0</v>
      </c>
      <c r="I38" s="28">
        <v>0</v>
      </c>
      <c r="J38" s="27">
        <f>SUM(G38:I38)</f>
        <v>0</v>
      </c>
      <c r="K38" s="29">
        <f>SUM(J38,F38,J15,F15)</f>
        <v>0</v>
      </c>
      <c r="L38" s="47"/>
      <c r="M38" s="47"/>
      <c r="N38" s="47"/>
      <c r="O38" s="47"/>
      <c r="P38" s="47"/>
      <c r="Q38" s="47"/>
      <c r="R38" s="47"/>
      <c r="T38" s="6"/>
      <c r="U38" s="6"/>
      <c r="V38" s="5"/>
    </row>
    <row r="39" spans="1:23" x14ac:dyDescent="0.3">
      <c r="B39" s="30" t="s">
        <v>17</v>
      </c>
      <c r="C39" s="31">
        <f>SUM(C37:C38)</f>
        <v>1123873.6498160001</v>
      </c>
      <c r="D39" s="31">
        <f>SUM(D37:D38)</f>
        <v>1278594.3052400001</v>
      </c>
      <c r="E39" s="31">
        <f>SUM(E37:E38)</f>
        <v>1022875.444192</v>
      </c>
      <c r="F39" s="27">
        <f>SUM(C39:E39)</f>
        <v>3425343.3992480002</v>
      </c>
      <c r="G39" s="31">
        <f>SUM(G37:G38)</f>
        <v>502842.13012799999</v>
      </c>
      <c r="H39" s="31">
        <f>SUM(H37:H38)</f>
        <v>500693.23213600006</v>
      </c>
      <c r="I39" s="31">
        <f>SUM(I37:I38)</f>
        <v>749965.39920800005</v>
      </c>
      <c r="J39" s="27">
        <f>SUM(G39:I39)</f>
        <v>1753500.7614720003</v>
      </c>
      <c r="K39" s="29">
        <f>SUM(J39,F39,J16,F16)</f>
        <v>21488979.920000002</v>
      </c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3" x14ac:dyDescent="0.3">
      <c r="B40" s="32" t="s">
        <v>18</v>
      </c>
      <c r="C40" s="33">
        <f t="shared" ref="C40:K40" si="5">C39/$K$39</f>
        <v>5.2299999999999999E-2</v>
      </c>
      <c r="D40" s="33">
        <f t="shared" si="5"/>
        <v>5.9500000000000004E-2</v>
      </c>
      <c r="E40" s="33">
        <f t="shared" si="5"/>
        <v>4.7599999999999996E-2</v>
      </c>
      <c r="F40" s="33">
        <f t="shared" si="5"/>
        <v>0.15939999999999999</v>
      </c>
      <c r="G40" s="33">
        <f t="shared" si="5"/>
        <v>2.3399999999999997E-2</v>
      </c>
      <c r="H40" s="33">
        <f t="shared" si="5"/>
        <v>2.3300000000000001E-2</v>
      </c>
      <c r="I40" s="33">
        <f t="shared" si="5"/>
        <v>3.49E-2</v>
      </c>
      <c r="J40" s="33">
        <f t="shared" si="5"/>
        <v>8.1600000000000006E-2</v>
      </c>
      <c r="K40" s="34">
        <f t="shared" si="5"/>
        <v>1</v>
      </c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9"/>
    </row>
    <row r="41" spans="1:23" x14ac:dyDescent="0.3">
      <c r="B41" s="36" t="s">
        <v>19</v>
      </c>
      <c r="C41" s="27">
        <f>C42+C43+C44+C45+C46</f>
        <v>1776155.5941666665</v>
      </c>
      <c r="D41" s="27">
        <f>D42+D43+D44+D45+D46</f>
        <v>1776155.5941666665</v>
      </c>
      <c r="E41" s="27">
        <f>E42+E43+E44+E45+E46</f>
        <v>1776155.5941666665</v>
      </c>
      <c r="F41" s="27">
        <f t="shared" ref="F41:F52" si="6">SUM(C41:E41)</f>
        <v>5328466.7824999997</v>
      </c>
      <c r="G41" s="27">
        <f>G42+G43+G44+G45+G46</f>
        <v>1776155.5941666665</v>
      </c>
      <c r="H41" s="27">
        <f>H42+H43+H44+H45+H46</f>
        <v>1776155.5941666665</v>
      </c>
      <c r="I41" s="27">
        <f>I42+I43+I44+I45+I46</f>
        <v>1776155.5941666665</v>
      </c>
      <c r="J41" s="27">
        <f t="shared" ref="J41:J50" si="7">SUM(G41:I41)</f>
        <v>5328466.7824999997</v>
      </c>
      <c r="K41" s="29">
        <f t="shared" ref="K41:K53" si="8">SUM(J41,F41,J18,F18)</f>
        <v>21313867.129999999</v>
      </c>
    </row>
    <row r="42" spans="1:23" x14ac:dyDescent="0.3">
      <c r="B42" s="25" t="s">
        <v>20</v>
      </c>
      <c r="C42" s="28">
        <f>$E$19</f>
        <v>662235.09250000003</v>
      </c>
      <c r="D42" s="28">
        <f>$E$19</f>
        <v>662235.09250000003</v>
      </c>
      <c r="E42" s="28">
        <f>$E$19</f>
        <v>662235.09250000003</v>
      </c>
      <c r="F42" s="28">
        <f t="shared" si="6"/>
        <v>1986705.2775000001</v>
      </c>
      <c r="G42" s="28">
        <f>$E$19</f>
        <v>662235.09250000003</v>
      </c>
      <c r="H42" s="28">
        <f>$E$19</f>
        <v>662235.09250000003</v>
      </c>
      <c r="I42" s="28">
        <f>$E$19</f>
        <v>662235.09250000003</v>
      </c>
      <c r="J42" s="28">
        <f t="shared" si="7"/>
        <v>1986705.2775000001</v>
      </c>
      <c r="K42" s="38">
        <f t="shared" si="8"/>
        <v>7946821.1100000003</v>
      </c>
    </row>
    <row r="43" spans="1:23" x14ac:dyDescent="0.3">
      <c r="B43" s="25" t="s">
        <v>21</v>
      </c>
      <c r="C43" s="28">
        <f>$C$20</f>
        <v>0</v>
      </c>
      <c r="D43" s="28">
        <f>$C$20</f>
        <v>0</v>
      </c>
      <c r="E43" s="28">
        <f>$C$20</f>
        <v>0</v>
      </c>
      <c r="F43" s="28">
        <f t="shared" si="6"/>
        <v>0</v>
      </c>
      <c r="G43" s="28">
        <f>$C$20</f>
        <v>0</v>
      </c>
      <c r="H43" s="28">
        <f>$C$20</f>
        <v>0</v>
      </c>
      <c r="I43" s="28">
        <f>$C$20</f>
        <v>0</v>
      </c>
      <c r="J43" s="28">
        <f t="shared" si="7"/>
        <v>0</v>
      </c>
      <c r="K43" s="29">
        <f t="shared" si="8"/>
        <v>0</v>
      </c>
    </row>
    <row r="44" spans="1:23" x14ac:dyDescent="0.3">
      <c r="B44" s="25" t="s">
        <v>22</v>
      </c>
      <c r="C44" s="28">
        <f>$C$21</f>
        <v>44815.704999999994</v>
      </c>
      <c r="D44" s="28">
        <f>$C$21</f>
        <v>44815.704999999994</v>
      </c>
      <c r="E44" s="28">
        <f>$C$21</f>
        <v>44815.704999999994</v>
      </c>
      <c r="F44" s="28">
        <f t="shared" si="6"/>
        <v>134447.11499999999</v>
      </c>
      <c r="G44" s="28">
        <f>$C$21</f>
        <v>44815.704999999994</v>
      </c>
      <c r="H44" s="28">
        <f>$C$21</f>
        <v>44815.704999999994</v>
      </c>
      <c r="I44" s="28">
        <f>$C$21</f>
        <v>44815.704999999994</v>
      </c>
      <c r="J44" s="28">
        <f t="shared" si="7"/>
        <v>134447.11499999999</v>
      </c>
      <c r="K44" s="29">
        <f t="shared" si="8"/>
        <v>537788.46</v>
      </c>
    </row>
    <row r="45" spans="1:23" x14ac:dyDescent="0.3">
      <c r="B45" s="25" t="s">
        <v>23</v>
      </c>
      <c r="C45" s="28">
        <f>$C$22</f>
        <v>12810.416666666666</v>
      </c>
      <c r="D45" s="28">
        <f>$C$22</f>
        <v>12810.416666666666</v>
      </c>
      <c r="E45" s="28">
        <f>$C$22</f>
        <v>12810.416666666666</v>
      </c>
      <c r="F45" s="28">
        <f t="shared" si="6"/>
        <v>38431.25</v>
      </c>
      <c r="G45" s="28">
        <f>$C$22</f>
        <v>12810.416666666666</v>
      </c>
      <c r="H45" s="28">
        <f>$C$22</f>
        <v>12810.416666666666</v>
      </c>
      <c r="I45" s="28">
        <f>$C$22</f>
        <v>12810.416666666666</v>
      </c>
      <c r="J45" s="28">
        <f t="shared" si="7"/>
        <v>38431.25</v>
      </c>
      <c r="K45" s="29">
        <f t="shared" si="8"/>
        <v>153725</v>
      </c>
    </row>
    <row r="46" spans="1:23" x14ac:dyDescent="0.3">
      <c r="B46" s="25" t="s">
        <v>24</v>
      </c>
      <c r="C46" s="28">
        <f>$C$23</f>
        <v>1056294.3799999999</v>
      </c>
      <c r="D46" s="28">
        <f>$C$23</f>
        <v>1056294.3799999999</v>
      </c>
      <c r="E46" s="28">
        <f>$C$23</f>
        <v>1056294.3799999999</v>
      </c>
      <c r="F46" s="28">
        <f t="shared" si="6"/>
        <v>3168883.1399999997</v>
      </c>
      <c r="G46" s="28">
        <f>$C$23</f>
        <v>1056294.3799999999</v>
      </c>
      <c r="H46" s="28">
        <f>$C$23</f>
        <v>1056294.3799999999</v>
      </c>
      <c r="I46" s="28">
        <f>$C$23</f>
        <v>1056294.3799999999</v>
      </c>
      <c r="J46" s="28">
        <f t="shared" si="7"/>
        <v>3168883.1399999997</v>
      </c>
      <c r="K46" s="29">
        <f t="shared" si="8"/>
        <v>12675532.559999999</v>
      </c>
    </row>
    <row r="47" spans="1:23" x14ac:dyDescent="0.3">
      <c r="B47" s="36" t="s">
        <v>25</v>
      </c>
      <c r="C47" s="37">
        <f>C48</f>
        <v>6259.399166666667</v>
      </c>
      <c r="D47" s="37">
        <f>D48</f>
        <v>6259.399166666667</v>
      </c>
      <c r="E47" s="37">
        <f>E48</f>
        <v>6259.399166666667</v>
      </c>
      <c r="F47" s="37">
        <f t="shared" si="6"/>
        <v>18778.197500000002</v>
      </c>
      <c r="G47" s="37">
        <f>G48</f>
        <v>6259.399166666667</v>
      </c>
      <c r="H47" s="37">
        <f>H48</f>
        <v>6259.399166666667</v>
      </c>
      <c r="I47" s="37">
        <f>I48</f>
        <v>6259.399166666667</v>
      </c>
      <c r="J47" s="37">
        <f t="shared" si="7"/>
        <v>18778.197500000002</v>
      </c>
      <c r="K47" s="29">
        <f t="shared" si="8"/>
        <v>75112.790000000008</v>
      </c>
    </row>
    <row r="48" spans="1:23" x14ac:dyDescent="0.3">
      <c r="B48" s="25" t="s">
        <v>26</v>
      </c>
      <c r="C48" s="28">
        <f>SUM(C49:C51)</f>
        <v>6259.399166666667</v>
      </c>
      <c r="D48" s="28">
        <f>SUM(D49:D51)</f>
        <v>6259.399166666667</v>
      </c>
      <c r="E48" s="28">
        <f>SUM(E49:E51)</f>
        <v>6259.399166666667</v>
      </c>
      <c r="F48" s="28">
        <f t="shared" si="6"/>
        <v>18778.197500000002</v>
      </c>
      <c r="G48" s="28">
        <f>SUM(G49:G50)</f>
        <v>6259.399166666667</v>
      </c>
      <c r="H48" s="28">
        <f>SUM(H49:H51)</f>
        <v>6259.399166666667</v>
      </c>
      <c r="I48" s="28">
        <f>SUM(I49:I51)</f>
        <v>6259.399166666667</v>
      </c>
      <c r="J48" s="28">
        <f t="shared" si="7"/>
        <v>18778.197500000002</v>
      </c>
      <c r="K48" s="38">
        <f t="shared" si="8"/>
        <v>75112.790000000008</v>
      </c>
    </row>
    <row r="49" spans="2:11" x14ac:dyDescent="0.3">
      <c r="B49" s="25" t="s">
        <v>27</v>
      </c>
      <c r="C49" s="28">
        <f>$C$26</f>
        <v>1666.6666666666667</v>
      </c>
      <c r="D49" s="28">
        <f>$C$26</f>
        <v>1666.6666666666667</v>
      </c>
      <c r="E49" s="28">
        <f>$C$26</f>
        <v>1666.6666666666667</v>
      </c>
      <c r="F49" s="28">
        <f t="shared" si="6"/>
        <v>5000</v>
      </c>
      <c r="G49" s="28">
        <f>$C$26</f>
        <v>1666.6666666666667</v>
      </c>
      <c r="H49" s="28">
        <f>$C$26</f>
        <v>1666.6666666666667</v>
      </c>
      <c r="I49" s="28">
        <f>$C$26</f>
        <v>1666.6666666666667</v>
      </c>
      <c r="J49" s="28">
        <f t="shared" si="7"/>
        <v>5000</v>
      </c>
      <c r="K49" s="29">
        <f t="shared" si="8"/>
        <v>20000</v>
      </c>
    </row>
    <row r="50" spans="2:11" x14ac:dyDescent="0.3">
      <c r="B50" s="25" t="s">
        <v>28</v>
      </c>
      <c r="C50" s="28">
        <f>$C$27</f>
        <v>4592.7325000000001</v>
      </c>
      <c r="D50" s="28">
        <f>$C$27</f>
        <v>4592.7325000000001</v>
      </c>
      <c r="E50" s="28">
        <f>$C$27</f>
        <v>4592.7325000000001</v>
      </c>
      <c r="F50" s="28">
        <f t="shared" si="6"/>
        <v>13778.1975</v>
      </c>
      <c r="G50" s="28">
        <f>$C$27</f>
        <v>4592.7325000000001</v>
      </c>
      <c r="H50" s="28">
        <f>$C$27</f>
        <v>4592.7325000000001</v>
      </c>
      <c r="I50" s="28">
        <f>$C$27</f>
        <v>4592.7325000000001</v>
      </c>
      <c r="J50" s="28">
        <f t="shared" si="7"/>
        <v>13778.1975</v>
      </c>
      <c r="K50" s="29">
        <f t="shared" si="8"/>
        <v>55112.79</v>
      </c>
    </row>
    <row r="51" spans="2:11" x14ac:dyDescent="0.3">
      <c r="B51" s="25" t="s">
        <v>29</v>
      </c>
      <c r="C51" s="28">
        <v>0</v>
      </c>
      <c r="D51" s="28">
        <v>0</v>
      </c>
      <c r="E51" s="28">
        <v>0</v>
      </c>
      <c r="F51" s="28">
        <f t="shared" si="6"/>
        <v>0</v>
      </c>
      <c r="G51" s="28">
        <v>0</v>
      </c>
      <c r="H51" s="28">
        <v>0</v>
      </c>
      <c r="I51" s="28">
        <v>0</v>
      </c>
      <c r="J51" s="28">
        <v>0</v>
      </c>
      <c r="K51" s="29">
        <f t="shared" si="8"/>
        <v>0</v>
      </c>
    </row>
    <row r="52" spans="2:11" x14ac:dyDescent="0.3">
      <c r="B52" s="36" t="s">
        <v>30</v>
      </c>
      <c r="C52" s="37">
        <v>0</v>
      </c>
      <c r="D52" s="37">
        <v>0</v>
      </c>
      <c r="E52" s="37">
        <v>0</v>
      </c>
      <c r="F52" s="37">
        <f t="shared" si="6"/>
        <v>0</v>
      </c>
      <c r="G52" s="37">
        <v>0</v>
      </c>
      <c r="H52" s="37">
        <v>0</v>
      </c>
      <c r="I52" s="37">
        <f>C66</f>
        <v>100000</v>
      </c>
      <c r="J52" s="37">
        <f>SUM(G52:I52)</f>
        <v>100000</v>
      </c>
      <c r="K52" s="29">
        <f t="shared" si="8"/>
        <v>100000</v>
      </c>
    </row>
    <row r="53" spans="2:11" x14ac:dyDescent="0.3">
      <c r="B53" s="30" t="s">
        <v>31</v>
      </c>
      <c r="C53" s="31">
        <f>C41+C47</f>
        <v>1782414.9933333332</v>
      </c>
      <c r="D53" s="31">
        <f>D41+D47</f>
        <v>1782414.9933333332</v>
      </c>
      <c r="E53" s="31">
        <f>E41+E47</f>
        <v>1782414.9933333332</v>
      </c>
      <c r="F53" s="31">
        <f>F41+F47+F52</f>
        <v>5347244.9799999995</v>
      </c>
      <c r="G53" s="31">
        <f>G41+G47</f>
        <v>1782414.9933333332</v>
      </c>
      <c r="H53" s="31">
        <f>H41+H47</f>
        <v>1782414.9933333332</v>
      </c>
      <c r="I53" s="31">
        <f>I41+I47+I52</f>
        <v>1882414.9933333332</v>
      </c>
      <c r="J53" s="31">
        <f>J41+J47+J52</f>
        <v>5447244.9799999995</v>
      </c>
      <c r="K53" s="29">
        <f t="shared" si="8"/>
        <v>21488979.919999998</v>
      </c>
    </row>
    <row r="54" spans="2:11" x14ac:dyDescent="0.3">
      <c r="B54" s="32" t="s">
        <v>18</v>
      </c>
      <c r="C54" s="33">
        <f t="shared" ref="C54:K54" si="9">C53/$K$53</f>
        <v>8.2945537664839197E-2</v>
      </c>
      <c r="D54" s="33">
        <f t="shared" si="9"/>
        <v>8.2945537664839197E-2</v>
      </c>
      <c r="E54" s="33">
        <f t="shared" si="9"/>
        <v>8.2945537664839197E-2</v>
      </c>
      <c r="F54" s="33">
        <f t="shared" si="9"/>
        <v>0.24883661299451762</v>
      </c>
      <c r="G54" s="33">
        <f t="shared" si="9"/>
        <v>8.2945537664839197E-2</v>
      </c>
      <c r="H54" s="33">
        <f t="shared" si="9"/>
        <v>8.2945537664839197E-2</v>
      </c>
      <c r="I54" s="33">
        <f t="shared" si="9"/>
        <v>8.759908568676876E-2</v>
      </c>
      <c r="J54" s="33">
        <f t="shared" si="9"/>
        <v>0.25349016101644717</v>
      </c>
      <c r="K54" s="39">
        <f t="shared" si="9"/>
        <v>1</v>
      </c>
    </row>
    <row r="55" spans="2:11" x14ac:dyDescent="0.3">
      <c r="B55" s="40" t="s">
        <v>32</v>
      </c>
      <c r="C55" s="41">
        <f>(I32+C39)-C53</f>
        <v>4957104.4557626704</v>
      </c>
      <c r="D55" s="41">
        <f>(C55+D39)-D53</f>
        <v>4453283.7676693378</v>
      </c>
      <c r="E55" s="41">
        <f>(D55+E39)-E53</f>
        <v>3693744.2185280044</v>
      </c>
      <c r="F55" s="41">
        <v>0</v>
      </c>
      <c r="G55" s="41">
        <f>(E55+G39)-G53</f>
        <v>2414171.3553226711</v>
      </c>
      <c r="H55" s="41">
        <f>(G55+H39)-H53</f>
        <v>1132449.5941253379</v>
      </c>
      <c r="I55" s="41">
        <f>(H55+I39)-I53</f>
        <v>4.6566128730773926E-9</v>
      </c>
      <c r="J55" s="41">
        <v>0</v>
      </c>
      <c r="K55" s="42">
        <f>SUM(J55,F55,J32,F32)</f>
        <v>0</v>
      </c>
    </row>
    <row r="56" spans="2:11" x14ac:dyDescent="0.3">
      <c r="B56" s="50"/>
      <c r="C56" s="50"/>
      <c r="D56" s="50"/>
      <c r="E56" s="50"/>
      <c r="F56" s="6"/>
      <c r="G56" s="6"/>
      <c r="H56" s="6"/>
      <c r="I56" s="6"/>
      <c r="J56" s="6"/>
      <c r="K56" s="6"/>
    </row>
    <row r="57" spans="2:11" x14ac:dyDescent="0.3">
      <c r="B57" s="15"/>
      <c r="C57" s="51"/>
      <c r="D57" s="51"/>
      <c r="E57" s="52"/>
      <c r="K57" s="4">
        <f>K37-K53</f>
        <v>0</v>
      </c>
    </row>
    <row r="58" spans="2:11" x14ac:dyDescent="0.3">
      <c r="B58" s="53" t="s">
        <v>20</v>
      </c>
      <c r="C58" s="54">
        <v>7946821.1100000003</v>
      </c>
      <c r="D58" s="55">
        <f>C58-K42</f>
        <v>0</v>
      </c>
      <c r="E58" s="52"/>
    </row>
    <row r="59" spans="2:11" x14ac:dyDescent="0.3">
      <c r="B59" s="53" t="s">
        <v>21</v>
      </c>
      <c r="C59" s="56">
        <v>0</v>
      </c>
      <c r="D59" s="55"/>
      <c r="E59" s="52"/>
    </row>
    <row r="60" spans="2:11" x14ac:dyDescent="0.3">
      <c r="B60" s="53" t="s">
        <v>22</v>
      </c>
      <c r="C60" s="54">
        <v>537788.46</v>
      </c>
      <c r="D60" s="55">
        <f>C60-K44</f>
        <v>0</v>
      </c>
      <c r="E60" s="52"/>
    </row>
    <row r="61" spans="2:11" x14ac:dyDescent="0.3">
      <c r="B61" s="53" t="s">
        <v>23</v>
      </c>
      <c r="C61" s="54">
        <v>153725</v>
      </c>
      <c r="D61" s="55">
        <f>C61-K45</f>
        <v>0</v>
      </c>
      <c r="E61" s="52"/>
      <c r="K61" s="57"/>
    </row>
    <row r="62" spans="2:11" x14ac:dyDescent="0.3">
      <c r="B62" s="53" t="s">
        <v>24</v>
      </c>
      <c r="C62" s="58">
        <f>13367046.02-(C60+C61)</f>
        <v>12675532.559999999</v>
      </c>
      <c r="D62" s="55">
        <f>C62-K46</f>
        <v>0</v>
      </c>
      <c r="E62" s="52"/>
    </row>
    <row r="63" spans="2:11" x14ac:dyDescent="0.3">
      <c r="B63" s="53" t="s">
        <v>27</v>
      </c>
      <c r="C63" s="54">
        <v>20000</v>
      </c>
      <c r="D63" s="55">
        <f>C63-K49</f>
        <v>0</v>
      </c>
      <c r="E63" s="52"/>
    </row>
    <row r="64" spans="2:11" x14ac:dyDescent="0.3">
      <c r="B64" s="53" t="s">
        <v>28</v>
      </c>
      <c r="C64" s="54">
        <v>55112.79</v>
      </c>
      <c r="D64" s="55">
        <f>C64-K50</f>
        <v>0</v>
      </c>
      <c r="E64" s="52"/>
    </row>
    <row r="65" spans="2:5" x14ac:dyDescent="0.3">
      <c r="B65" s="53" t="s">
        <v>29</v>
      </c>
      <c r="C65" s="58">
        <v>0</v>
      </c>
      <c r="D65" s="55"/>
      <c r="E65" s="52"/>
    </row>
    <row r="66" spans="2:5" x14ac:dyDescent="0.3">
      <c r="B66" s="59" t="s">
        <v>30</v>
      </c>
      <c r="C66" s="54">
        <v>100000</v>
      </c>
      <c r="D66" s="55">
        <f>C66-K52</f>
        <v>0</v>
      </c>
      <c r="E66" s="52"/>
    </row>
    <row r="67" spans="2:5" x14ac:dyDescent="0.3">
      <c r="B67" s="60"/>
      <c r="C67" s="61"/>
      <c r="D67" s="51"/>
      <c r="E67" s="52"/>
    </row>
    <row r="68" spans="2:5" x14ac:dyDescent="0.3">
      <c r="B68" s="60"/>
      <c r="C68" s="60"/>
      <c r="D68" s="51"/>
      <c r="E68" s="52"/>
    </row>
    <row r="69" spans="2:5" x14ac:dyDescent="0.3">
      <c r="B69" s="60"/>
      <c r="C69" s="60"/>
      <c r="D69" s="51"/>
      <c r="E69" s="52"/>
    </row>
    <row r="70" spans="2:5" x14ac:dyDescent="0.3">
      <c r="B70" s="51"/>
      <c r="C70" s="51"/>
      <c r="D70" s="51"/>
      <c r="E70" s="52"/>
    </row>
    <row r="71" spans="2:5" x14ac:dyDescent="0.3">
      <c r="B71" s="51"/>
      <c r="C71" s="51"/>
      <c r="D71" s="51"/>
      <c r="E71" s="52"/>
    </row>
    <row r="72" spans="2:5" x14ac:dyDescent="0.3">
      <c r="B72" s="51"/>
      <c r="C72" s="51"/>
      <c r="D72" s="51"/>
      <c r="E72" s="52"/>
    </row>
    <row r="73" spans="2:5" x14ac:dyDescent="0.3">
      <c r="B73" s="52"/>
      <c r="C73" s="52"/>
      <c r="D73" s="52"/>
      <c r="E73" s="52"/>
    </row>
    <row r="74" spans="2:5" x14ac:dyDescent="0.3">
      <c r="B74" s="52"/>
      <c r="C74" s="52"/>
      <c r="D74" s="52"/>
      <c r="E74" s="52"/>
    </row>
    <row r="75" spans="2:5" x14ac:dyDescent="0.3">
      <c r="B75" s="52"/>
      <c r="C75" s="52"/>
      <c r="D75" s="52"/>
      <c r="E75" s="52"/>
    </row>
    <row r="76" spans="2:5" x14ac:dyDescent="0.3">
      <c r="B76" s="52"/>
      <c r="C76" s="52"/>
      <c r="D76" s="52"/>
      <c r="E76" s="52"/>
    </row>
    <row r="77" spans="2:5" x14ac:dyDescent="0.3">
      <c r="B77" s="52"/>
      <c r="C77" s="52"/>
      <c r="D77" s="52"/>
      <c r="E77" s="52"/>
    </row>
    <row r="78" spans="2:5" x14ac:dyDescent="0.3">
      <c r="B78" s="52"/>
      <c r="C78" s="52"/>
      <c r="D78" s="52"/>
      <c r="E78" s="52"/>
    </row>
    <row r="79" spans="2:5" x14ac:dyDescent="0.3">
      <c r="B79" s="52"/>
      <c r="C79" s="52"/>
      <c r="D79" s="52"/>
      <c r="E79" s="52"/>
    </row>
    <row r="80" spans="2:5" x14ac:dyDescent="0.3">
      <c r="B80" s="52"/>
      <c r="C80" s="52"/>
      <c r="D80" s="52"/>
      <c r="E80" s="52"/>
    </row>
    <row r="81" spans="2:5" x14ac:dyDescent="0.3">
      <c r="B81" s="52"/>
      <c r="C81" s="52"/>
      <c r="D81" s="52"/>
      <c r="E81" s="52"/>
    </row>
    <row r="82" spans="2:5" x14ac:dyDescent="0.3">
      <c r="B82" s="52"/>
      <c r="C82" s="52"/>
      <c r="D82" s="52"/>
      <c r="E82" s="52"/>
    </row>
  </sheetData>
  <mergeCells count="4">
    <mergeCell ref="T6:U6"/>
    <mergeCell ref="C8:I8"/>
    <mergeCell ref="C12:K12"/>
    <mergeCell ref="C35:K35"/>
  </mergeCells>
  <dataValidations count="1">
    <dataValidation allowBlank="1" showInputMessage="1" showErrorMessage="1" promptTitle="Não Preencher!" prompt="Cálculo Automático" sqref="F14:F16 J14:K16 C18:K19 F20:F27 J20:K23 C24:E25 G24:K25 J26:K28 C29:K29 K30 C32:K32 F37:F39 J37:K39 C41:K42 F43:F52 J43:K46 C47:E48 G47:K48 J49:K50 K51:K53 C52:E52 G52:J52 C55:K55">
      <formula1>0</formula1>
      <formula2>0</formula2>
    </dataValidation>
  </dataValidations>
  <printOptions horizontalCentered="1"/>
  <pageMargins left="0.39374999999999999" right="0.39374999999999999" top="0.39374999999999999" bottom="0.39374999999999999" header="0.51180555555555496" footer="0.51180555555555496"/>
  <pageSetup paperSize="9" firstPageNumber="0" orientation="landscape" horizontalDpi="300" verticalDpi="30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MK84"/>
  <sheetViews>
    <sheetView showGridLines="0" topLeftCell="B16" zoomScale="60" zoomScaleNormal="60" workbookViewId="0">
      <selection activeCell="J63" sqref="J63"/>
    </sheetView>
  </sheetViews>
  <sheetFormatPr defaultRowHeight="18.75" x14ac:dyDescent="0.3"/>
  <cols>
    <col min="1" max="1" width="3" style="4" customWidth="1"/>
    <col min="2" max="2" width="76.28515625" style="4" customWidth="1"/>
    <col min="3" max="10" width="22.7109375" style="4" customWidth="1"/>
    <col min="11" max="11" width="27.140625" style="4" customWidth="1"/>
    <col min="12" max="19" width="22.7109375" style="4" customWidth="1"/>
    <col min="20" max="20" width="16.140625" style="4" customWidth="1"/>
    <col min="21" max="21" width="14.5703125" style="4" customWidth="1"/>
    <col min="22" max="22" width="17" style="4" customWidth="1"/>
    <col min="23" max="23" width="14.42578125" style="5" customWidth="1"/>
    <col min="24" max="1025" width="9.140625" style="4" customWidth="1"/>
  </cols>
  <sheetData>
    <row r="1" spans="1:23" x14ac:dyDescent="0.3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7"/>
    </row>
    <row r="2" spans="1:23" ht="12.75" customHeight="1" x14ac:dyDescent="0.3">
      <c r="A2" s="6"/>
      <c r="B2" s="6"/>
      <c r="C2" s="6" t="s">
        <v>0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8"/>
      <c r="U2" s="8"/>
      <c r="V2" s="9"/>
      <c r="W2" s="7"/>
    </row>
    <row r="3" spans="1:23" ht="12.75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10"/>
      <c r="U3" s="10"/>
      <c r="W3" s="7"/>
    </row>
    <row r="4" spans="1:23" ht="12.75" customHeigh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10"/>
      <c r="U4" s="10"/>
      <c r="W4" s="7"/>
    </row>
    <row r="5" spans="1:23" ht="12.75" customHeight="1" x14ac:dyDescent="0.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10"/>
      <c r="U5" s="10"/>
      <c r="W5" s="7"/>
    </row>
    <row r="6" spans="1:23" ht="12.75" customHeight="1" x14ac:dyDescent="0.3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3"/>
      <c r="U6" s="3"/>
      <c r="V6" s="10"/>
      <c r="W6" s="7"/>
    </row>
    <row r="7" spans="1:23" ht="13.15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7"/>
    </row>
    <row r="8" spans="1:23" ht="31.5" customHeight="1" x14ac:dyDescent="0.3">
      <c r="A8" s="6"/>
      <c r="B8" s="11" t="s">
        <v>1</v>
      </c>
      <c r="C8" s="2"/>
      <c r="D8" s="2"/>
      <c r="E8" s="2"/>
      <c r="F8" s="2"/>
      <c r="G8" s="2"/>
      <c r="H8" s="2"/>
      <c r="I8" s="2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2"/>
      <c r="W8" s="7"/>
    </row>
    <row r="9" spans="1:23" ht="19.5" customHeight="1" x14ac:dyDescent="0.3">
      <c r="A9" s="6"/>
      <c r="B9" s="13" t="s">
        <v>43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4"/>
      <c r="W9" s="7"/>
    </row>
    <row r="10" spans="1:23" ht="13.15" customHeight="1" x14ac:dyDescent="0.3">
      <c r="A10" s="6"/>
      <c r="B10" s="1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7"/>
    </row>
    <row r="11" spans="1:23" ht="19.5" thickBot="1" x14ac:dyDescent="0.35">
      <c r="A11" s="6"/>
      <c r="B11" s="16">
        <v>21488979.920000002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8"/>
      <c r="V11" s="19"/>
      <c r="W11" s="7"/>
    </row>
    <row r="12" spans="1:23" s="4" customFormat="1" ht="18.75" customHeight="1" thickTop="1" x14ac:dyDescent="0.3">
      <c r="A12" s="6"/>
      <c r="B12" s="20" t="s">
        <v>3</v>
      </c>
      <c r="C12" s="1" t="s">
        <v>4</v>
      </c>
      <c r="D12" s="1"/>
      <c r="E12" s="1"/>
      <c r="F12" s="1"/>
      <c r="G12" s="1"/>
      <c r="H12" s="1"/>
      <c r="I12" s="1"/>
      <c r="J12" s="1"/>
      <c r="K12" s="1"/>
    </row>
    <row r="13" spans="1:23" s="4" customFormat="1" x14ac:dyDescent="0.3">
      <c r="A13" s="6"/>
      <c r="B13" s="21" t="s">
        <v>5</v>
      </c>
      <c r="C13" s="22" t="s">
        <v>6</v>
      </c>
      <c r="D13" s="23" t="s">
        <v>7</v>
      </c>
      <c r="E13" s="23" t="s">
        <v>8</v>
      </c>
      <c r="F13" s="23" t="s">
        <v>9</v>
      </c>
      <c r="G13" s="23" t="s">
        <v>10</v>
      </c>
      <c r="H13" s="23" t="s">
        <v>11</v>
      </c>
      <c r="I13" s="23" t="s">
        <v>12</v>
      </c>
      <c r="J13" s="23" t="s">
        <v>13</v>
      </c>
      <c r="K13" s="24" t="s">
        <v>14</v>
      </c>
    </row>
    <row r="14" spans="1:23" s="4" customFormat="1" x14ac:dyDescent="0.3">
      <c r="A14" s="6"/>
      <c r="B14" s="25" t="s">
        <v>15</v>
      </c>
      <c r="C14" s="26">
        <f>B11*22.48%</f>
        <v>4830722.6860160008</v>
      </c>
      <c r="D14" s="26">
        <f>B11*14.91%</f>
        <v>3204006.9060720005</v>
      </c>
      <c r="E14" s="26">
        <f>B11*21.43%</f>
        <v>4605088.3968559997</v>
      </c>
      <c r="F14" s="27">
        <f>SUM(C14:E14)</f>
        <v>12639817.988944001</v>
      </c>
      <c r="G14" s="28">
        <f>B11*5.74%</f>
        <v>1233467.447408</v>
      </c>
      <c r="H14" s="28">
        <f>B11*6.21%</f>
        <v>1334465.6530320002</v>
      </c>
      <c r="I14" s="28">
        <f>B11*5.13%</f>
        <v>1102384.6698960001</v>
      </c>
      <c r="J14" s="27">
        <f>SUM(G14:I14)</f>
        <v>3670317.7703360002</v>
      </c>
      <c r="K14" s="29">
        <f>SUM(J14,F14)</f>
        <v>16310135.759280002</v>
      </c>
    </row>
    <row r="15" spans="1:23" s="4" customFormat="1" x14ac:dyDescent="0.3">
      <c r="A15" s="6"/>
      <c r="B15" s="25" t="s">
        <v>16</v>
      </c>
      <c r="C15" s="26">
        <v>0</v>
      </c>
      <c r="D15" s="26">
        <v>0</v>
      </c>
      <c r="E15" s="26">
        <v>0</v>
      </c>
      <c r="F15" s="27">
        <f>SUM(C15:E15)</f>
        <v>0</v>
      </c>
      <c r="G15" s="28">
        <v>0</v>
      </c>
      <c r="H15" s="28">
        <v>0</v>
      </c>
      <c r="I15" s="28">
        <v>0</v>
      </c>
      <c r="J15" s="27">
        <f>SUM(G15:I15)</f>
        <v>0</v>
      </c>
      <c r="K15" s="29">
        <f>SUM(J15,F15)</f>
        <v>0</v>
      </c>
    </row>
    <row r="16" spans="1:23" s="4" customFormat="1" x14ac:dyDescent="0.3">
      <c r="A16" s="6"/>
      <c r="B16" s="64" t="s">
        <v>42</v>
      </c>
      <c r="C16" s="26">
        <v>0</v>
      </c>
      <c r="D16" s="26">
        <v>0</v>
      </c>
      <c r="E16" s="26">
        <v>0</v>
      </c>
      <c r="F16" s="27">
        <f>SUM(C16:E16)</f>
        <v>0</v>
      </c>
      <c r="G16" s="28">
        <v>0</v>
      </c>
      <c r="H16" s="28">
        <v>0</v>
      </c>
      <c r="I16" s="28">
        <v>14588172.810000001</v>
      </c>
      <c r="J16" s="27">
        <f>SUM(G16:I16)</f>
        <v>14588172.810000001</v>
      </c>
      <c r="K16" s="29">
        <f>SUM(J16,F16)</f>
        <v>14588172.810000001</v>
      </c>
    </row>
    <row r="17" spans="1:11" s="4" customFormat="1" x14ac:dyDescent="0.3">
      <c r="A17" s="6"/>
      <c r="B17" s="30" t="s">
        <v>17</v>
      </c>
      <c r="C17" s="31">
        <f>SUM(C14:C16)</f>
        <v>4830722.6860160008</v>
      </c>
      <c r="D17" s="31">
        <f>SUM(D14:D16)</f>
        <v>3204006.9060720005</v>
      </c>
      <c r="E17" s="31">
        <f>SUM(E14:E16)</f>
        <v>4605088.3968559997</v>
      </c>
      <c r="F17" s="27">
        <f>SUM(C17:E17)</f>
        <v>12639817.988944001</v>
      </c>
      <c r="G17" s="31">
        <f>SUM(G14:G16)</f>
        <v>1233467.447408</v>
      </c>
      <c r="H17" s="31">
        <f>SUM(H14:H16)</f>
        <v>1334465.6530320002</v>
      </c>
      <c r="I17" s="31">
        <f>SUM(I14:I16)</f>
        <v>15690557.479896002</v>
      </c>
      <c r="J17" s="27">
        <f>SUM(G17:I17)</f>
        <v>18258490.580336001</v>
      </c>
      <c r="K17" s="29">
        <f>F17+J17</f>
        <v>30898308.569280002</v>
      </c>
    </row>
    <row r="18" spans="1:11" s="35" customFormat="1" x14ac:dyDescent="0.3">
      <c r="A18" s="6"/>
      <c r="B18" s="32" t="s">
        <v>18</v>
      </c>
      <c r="C18" s="33">
        <f>C17/$K$41</f>
        <v>0.13389977646431633</v>
      </c>
      <c r="D18" s="33">
        <f>D17/$K$41</f>
        <v>8.880986063536285E-2</v>
      </c>
      <c r="E18" s="33">
        <f>E17/$K$41</f>
        <v>0.12764556092661472</v>
      </c>
      <c r="F18" s="33">
        <f>F17/$K$41</f>
        <v>0.35035519802629389</v>
      </c>
      <c r="G18" s="33">
        <f>G17/$K$41</f>
        <v>3.4189711606102124E-2</v>
      </c>
      <c r="H18" s="33">
        <f>H17/$K$41</f>
        <v>3.6989217608692372E-2</v>
      </c>
      <c r="I18" s="33">
        <f>I17/$K$41</f>
        <v>0.4349167351792842</v>
      </c>
      <c r="J18" s="33">
        <f>J17/$K$41</f>
        <v>0.5060956643940786</v>
      </c>
      <c r="K18" s="34">
        <f>K17/$K$41</f>
        <v>0.85645086242037261</v>
      </c>
    </row>
    <row r="19" spans="1:11" s="4" customFormat="1" ht="24.95" customHeight="1" x14ac:dyDescent="0.3">
      <c r="A19" s="6"/>
      <c r="B19" s="36" t="s">
        <v>19</v>
      </c>
      <c r="C19" s="27">
        <f>C20+C21+C22+C23+C24</f>
        <v>1776155.5941666665</v>
      </c>
      <c r="D19" s="27">
        <f>D20+D21+D22+D23+D24</f>
        <v>1776155.5941666665</v>
      </c>
      <c r="E19" s="27">
        <f>E20+E21+E22+E23+E24</f>
        <v>1776155.5941666665</v>
      </c>
      <c r="F19" s="27">
        <f>SUM(C19:E19)</f>
        <v>5328466.7824999997</v>
      </c>
      <c r="G19" s="27">
        <f>G20+G21+G22+G23+G24</f>
        <v>1776155.5941666665</v>
      </c>
      <c r="H19" s="27">
        <f>H20+H21+H22+H23+H24</f>
        <v>1776155.5941666665</v>
      </c>
      <c r="I19" s="27">
        <f>I20+I21+I22+I23+I24</f>
        <v>1776155.5941666665</v>
      </c>
      <c r="J19" s="27">
        <f>SUM(G19:I19)</f>
        <v>5328466.7824999997</v>
      </c>
      <c r="K19" s="29">
        <f>SUM(J19,F19,)</f>
        <v>10656933.564999999</v>
      </c>
    </row>
    <row r="20" spans="1:11" s="4" customFormat="1" ht="20.100000000000001" customHeight="1" x14ac:dyDescent="0.3">
      <c r="A20" s="6"/>
      <c r="B20" s="25" t="s">
        <v>20</v>
      </c>
      <c r="C20" s="28">
        <f>C60/12</f>
        <v>662235.09250000003</v>
      </c>
      <c r="D20" s="28">
        <f>C60/12</f>
        <v>662235.09250000003</v>
      </c>
      <c r="E20" s="28">
        <f>C60/12</f>
        <v>662235.09250000003</v>
      </c>
      <c r="F20" s="37">
        <f>SUM(C20:E20)</f>
        <v>1986705.2775000001</v>
      </c>
      <c r="G20" s="28">
        <f>$E$20</f>
        <v>662235.09250000003</v>
      </c>
      <c r="H20" s="28">
        <f>$E$20</f>
        <v>662235.09250000003</v>
      </c>
      <c r="I20" s="28">
        <f>$E$20</f>
        <v>662235.09250000003</v>
      </c>
      <c r="J20" s="28">
        <f>SUM(G20:I20)</f>
        <v>1986705.2775000001</v>
      </c>
      <c r="K20" s="38">
        <f>SUM(J20,F20,)</f>
        <v>3973410.5550000002</v>
      </c>
    </row>
    <row r="21" spans="1:11" s="4" customFormat="1" ht="20.100000000000001" customHeight="1" x14ac:dyDescent="0.3">
      <c r="A21" s="6"/>
      <c r="B21" s="25" t="s">
        <v>21</v>
      </c>
      <c r="C21" s="28">
        <f>C61/12</f>
        <v>0</v>
      </c>
      <c r="D21" s="28">
        <f>$C$21</f>
        <v>0</v>
      </c>
      <c r="E21" s="28">
        <f>$C$21</f>
        <v>0</v>
      </c>
      <c r="F21" s="37">
        <f>SUM(C21:E21)</f>
        <v>0</v>
      </c>
      <c r="G21" s="28">
        <f>$C$21</f>
        <v>0</v>
      </c>
      <c r="H21" s="28">
        <f>$C$21</f>
        <v>0</v>
      </c>
      <c r="I21" s="28">
        <f>$C$21</f>
        <v>0</v>
      </c>
      <c r="J21" s="28">
        <f>SUM(G21:I21)</f>
        <v>0</v>
      </c>
      <c r="K21" s="29">
        <f>SUM(J21,F21,)</f>
        <v>0</v>
      </c>
    </row>
    <row r="22" spans="1:11" s="4" customFormat="1" ht="20.100000000000001" customHeight="1" x14ac:dyDescent="0.3">
      <c r="A22" s="6"/>
      <c r="B22" s="25" t="s">
        <v>22</v>
      </c>
      <c r="C22" s="28">
        <f>C62/12</f>
        <v>44815.704999999994</v>
      </c>
      <c r="D22" s="28">
        <f>$C$22</f>
        <v>44815.704999999994</v>
      </c>
      <c r="E22" s="28">
        <f>$C$22</f>
        <v>44815.704999999994</v>
      </c>
      <c r="F22" s="37">
        <f>SUM(C22:E22)</f>
        <v>134447.11499999999</v>
      </c>
      <c r="G22" s="28">
        <f>$C$22</f>
        <v>44815.704999999994</v>
      </c>
      <c r="H22" s="28">
        <f>$C$22</f>
        <v>44815.704999999994</v>
      </c>
      <c r="I22" s="28">
        <f>$C$22</f>
        <v>44815.704999999994</v>
      </c>
      <c r="J22" s="28">
        <f>SUM(G22:I22)</f>
        <v>134447.11499999999</v>
      </c>
      <c r="K22" s="29">
        <f>SUM(J22,F22,)</f>
        <v>268894.23</v>
      </c>
    </row>
    <row r="23" spans="1:11" s="4" customFormat="1" ht="20.100000000000001" customHeight="1" x14ac:dyDescent="0.3">
      <c r="B23" s="25" t="s">
        <v>23</v>
      </c>
      <c r="C23" s="28">
        <f>C63/12</f>
        <v>12810.416666666666</v>
      </c>
      <c r="D23" s="28">
        <f>$C$23</f>
        <v>12810.416666666666</v>
      </c>
      <c r="E23" s="28">
        <f>$C$23</f>
        <v>12810.416666666666</v>
      </c>
      <c r="F23" s="37">
        <f>SUM(C23:E23)</f>
        <v>38431.25</v>
      </c>
      <c r="G23" s="28">
        <f>$C$23</f>
        <v>12810.416666666666</v>
      </c>
      <c r="H23" s="28">
        <f>$C$23</f>
        <v>12810.416666666666</v>
      </c>
      <c r="I23" s="28">
        <f>$C$23</f>
        <v>12810.416666666666</v>
      </c>
      <c r="J23" s="28">
        <f>SUM(G23:I23)</f>
        <v>38431.25</v>
      </c>
      <c r="K23" s="29">
        <f>SUM(J23,F23,)</f>
        <v>76862.5</v>
      </c>
    </row>
    <row r="24" spans="1:11" s="4" customFormat="1" ht="20.100000000000001" customHeight="1" x14ac:dyDescent="0.3">
      <c r="B24" s="25" t="s">
        <v>24</v>
      </c>
      <c r="C24" s="28">
        <f>C64/12</f>
        <v>1056294.3799999999</v>
      </c>
      <c r="D24" s="28">
        <f>$C$24</f>
        <v>1056294.3799999999</v>
      </c>
      <c r="E24" s="28">
        <f>$C$24</f>
        <v>1056294.3799999999</v>
      </c>
      <c r="F24" s="37">
        <f>SUM(C24:E24)</f>
        <v>3168883.1399999997</v>
      </c>
      <c r="G24" s="28">
        <f>$C$24</f>
        <v>1056294.3799999999</v>
      </c>
      <c r="H24" s="28">
        <f>$C$24</f>
        <v>1056294.3799999999</v>
      </c>
      <c r="I24" s="28">
        <f>$C$24</f>
        <v>1056294.3799999999</v>
      </c>
      <c r="J24" s="28">
        <f>SUM(G24:I24)</f>
        <v>3168883.1399999997</v>
      </c>
      <c r="K24" s="29">
        <f>SUM(J24,F24)</f>
        <v>6337766.2799999993</v>
      </c>
    </row>
    <row r="25" spans="1:11" s="4" customFormat="1" ht="24.95" customHeight="1" x14ac:dyDescent="0.3">
      <c r="A25" s="6"/>
      <c r="B25" s="36" t="s">
        <v>25</v>
      </c>
      <c r="C25" s="37">
        <f>C26+C29</f>
        <v>6259.399166666667</v>
      </c>
      <c r="D25" s="37">
        <f>D26</f>
        <v>6259.399166666667</v>
      </c>
      <c r="E25" s="37">
        <f>E26</f>
        <v>6259.399166666667</v>
      </c>
      <c r="F25" s="37">
        <f>SUM(C25:E25)</f>
        <v>18778.197500000002</v>
      </c>
      <c r="G25" s="37">
        <f>G26</f>
        <v>6259.399166666667</v>
      </c>
      <c r="H25" s="37">
        <f>H26</f>
        <v>6259.399166666667</v>
      </c>
      <c r="I25" s="37">
        <f>I26</f>
        <v>6259.399166666667</v>
      </c>
      <c r="J25" s="37">
        <f>SUM(G25:I25)</f>
        <v>18778.197500000002</v>
      </c>
      <c r="K25" s="29">
        <f>SUM(J25,F25,)</f>
        <v>37556.395000000004</v>
      </c>
    </row>
    <row r="26" spans="1:11" s="4" customFormat="1" ht="20.100000000000001" customHeight="1" x14ac:dyDescent="0.3">
      <c r="A26" s="6"/>
      <c r="B26" s="25" t="s">
        <v>26</v>
      </c>
      <c r="C26" s="28">
        <f>SUM(C27:C28)</f>
        <v>6259.399166666667</v>
      </c>
      <c r="D26" s="28">
        <f>SUM(D27:D29)</f>
        <v>6259.399166666667</v>
      </c>
      <c r="E26" s="28">
        <f>SUM(E27:E29)</f>
        <v>6259.399166666667</v>
      </c>
      <c r="F26" s="28">
        <f>SUM(C26:E26)</f>
        <v>18778.197500000002</v>
      </c>
      <c r="G26" s="28">
        <f>SUM(G27:G29)</f>
        <v>6259.399166666667</v>
      </c>
      <c r="H26" s="28">
        <f>SUM(H27:H29)</f>
        <v>6259.399166666667</v>
      </c>
      <c r="I26" s="28">
        <f>SUM(I27:I29)</f>
        <v>6259.399166666667</v>
      </c>
      <c r="J26" s="28">
        <f>SUM(G26:I26)</f>
        <v>18778.197500000002</v>
      </c>
      <c r="K26" s="38">
        <f>SUM(J26,F26)</f>
        <v>37556.395000000004</v>
      </c>
    </row>
    <row r="27" spans="1:11" s="4" customFormat="1" ht="20.100000000000001" customHeight="1" x14ac:dyDescent="0.3">
      <c r="B27" s="25" t="s">
        <v>27</v>
      </c>
      <c r="C27" s="28">
        <f>C65/12</f>
        <v>1666.6666666666667</v>
      </c>
      <c r="D27" s="28">
        <f>$C$27</f>
        <v>1666.6666666666667</v>
      </c>
      <c r="E27" s="28">
        <f>$C$27</f>
        <v>1666.6666666666667</v>
      </c>
      <c r="F27" s="28">
        <f>SUM(C27:E27)</f>
        <v>5000</v>
      </c>
      <c r="G27" s="28">
        <f>$C$27</f>
        <v>1666.6666666666667</v>
      </c>
      <c r="H27" s="28">
        <f>$C$27</f>
        <v>1666.6666666666667</v>
      </c>
      <c r="I27" s="28">
        <f>$C$27</f>
        <v>1666.6666666666667</v>
      </c>
      <c r="J27" s="28">
        <f>SUM(G27:I27)</f>
        <v>5000</v>
      </c>
      <c r="K27" s="29">
        <f>SUM(J27,F27)</f>
        <v>10000</v>
      </c>
    </row>
    <row r="28" spans="1:11" s="4" customFormat="1" ht="20.100000000000001" customHeight="1" x14ac:dyDescent="0.3">
      <c r="B28" s="25" t="s">
        <v>28</v>
      </c>
      <c r="C28" s="28">
        <f>C66/12</f>
        <v>4592.7325000000001</v>
      </c>
      <c r="D28" s="28">
        <f>$C$28</f>
        <v>4592.7325000000001</v>
      </c>
      <c r="E28" s="28">
        <f>$C$28</f>
        <v>4592.7325000000001</v>
      </c>
      <c r="F28" s="28">
        <f>SUM(C28:E28)</f>
        <v>13778.1975</v>
      </c>
      <c r="G28" s="28">
        <f>$C$28</f>
        <v>4592.7325000000001</v>
      </c>
      <c r="H28" s="28">
        <f>$C$28</f>
        <v>4592.7325000000001</v>
      </c>
      <c r="I28" s="28">
        <f>$C$28</f>
        <v>4592.7325000000001</v>
      </c>
      <c r="J28" s="28">
        <f>SUM(G28:I28)</f>
        <v>13778.1975</v>
      </c>
      <c r="K28" s="29">
        <f>SUM(J28,F28)</f>
        <v>27556.395</v>
      </c>
    </row>
    <row r="29" spans="1:11" s="4" customFormat="1" ht="20.100000000000001" customHeight="1" x14ac:dyDescent="0.3">
      <c r="B29" s="25" t="s">
        <v>29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37">
        <f>SUM(G29:I29)</f>
        <v>0</v>
      </c>
      <c r="K29" s="29">
        <f>SUM(J29,F29)</f>
        <v>0</v>
      </c>
    </row>
    <row r="30" spans="1:11" s="4" customFormat="1" ht="24.95" customHeight="1" x14ac:dyDescent="0.3">
      <c r="A30" s="6"/>
      <c r="B30" s="36" t="s">
        <v>30</v>
      </c>
      <c r="C30" s="37">
        <v>0</v>
      </c>
      <c r="D30" s="37">
        <v>0</v>
      </c>
      <c r="E30" s="37">
        <v>0</v>
      </c>
      <c r="F30" s="37">
        <f>SUM(C30:E30)</f>
        <v>0</v>
      </c>
      <c r="G30" s="37">
        <v>0</v>
      </c>
      <c r="H30" s="37">
        <v>0</v>
      </c>
      <c r="I30" s="37">
        <v>0</v>
      </c>
      <c r="J30" s="37">
        <f>SUM(G30:I30)</f>
        <v>0</v>
      </c>
      <c r="K30" s="29">
        <f>SUM(J30,F30)</f>
        <v>0</v>
      </c>
    </row>
    <row r="31" spans="1:11" s="4" customFormat="1" ht="20.100000000000001" customHeight="1" x14ac:dyDescent="0.3">
      <c r="B31" s="30" t="s">
        <v>31</v>
      </c>
      <c r="C31" s="31">
        <f>C19+C25</f>
        <v>1782414.9933333332</v>
      </c>
      <c r="D31" s="31">
        <f>D19+D25</f>
        <v>1782414.9933333332</v>
      </c>
      <c r="E31" s="31">
        <f>E19+E25</f>
        <v>1782414.9933333332</v>
      </c>
      <c r="F31" s="31">
        <f>F19+F25+F30</f>
        <v>5347244.9799999995</v>
      </c>
      <c r="G31" s="31">
        <f>G19+G25</f>
        <v>1782414.9933333332</v>
      </c>
      <c r="H31" s="31">
        <f>H19+H25</f>
        <v>1782414.9933333332</v>
      </c>
      <c r="I31" s="31">
        <f>I19+I25</f>
        <v>1782414.9933333332</v>
      </c>
      <c r="J31" s="31">
        <f>J19+J25+F30</f>
        <v>5347244.9799999995</v>
      </c>
      <c r="K31" s="29">
        <f>SUM(J31,F31)</f>
        <v>10694489.959999999</v>
      </c>
    </row>
    <row r="32" spans="1:11" s="35" customFormat="1" ht="19.5" thickBot="1" x14ac:dyDescent="0.35">
      <c r="A32" s="6"/>
      <c r="B32" s="32" t="s">
        <v>18</v>
      </c>
      <c r="C32" s="33">
        <f>C31/$K$55</f>
        <v>4.9405644804423936E-2</v>
      </c>
      <c r="D32" s="33">
        <f>D31/$K$55</f>
        <v>4.9405644804423936E-2</v>
      </c>
      <c r="E32" s="33">
        <f>E31/$K$55</f>
        <v>4.9405644804423936E-2</v>
      </c>
      <c r="F32" s="33">
        <f>F31/$K$55</f>
        <v>0.1482169344132718</v>
      </c>
      <c r="G32" s="33">
        <f>G31/$K$55</f>
        <v>4.9405644804423936E-2</v>
      </c>
      <c r="H32" s="33">
        <f>H31/$K$55</f>
        <v>4.9405644804423936E-2</v>
      </c>
      <c r="I32" s="33">
        <f>I31/$K$55</f>
        <v>4.9405644804423936E-2</v>
      </c>
      <c r="J32" s="33">
        <f>J31/$K$55</f>
        <v>0.1482169344132718</v>
      </c>
      <c r="K32" s="39">
        <f>K31/$K$55</f>
        <v>0.2964338688265436</v>
      </c>
    </row>
    <row r="33" spans="1:23" s="4" customFormat="1" ht="24.95" customHeight="1" thickTop="1" thickBot="1" x14ac:dyDescent="0.35">
      <c r="A33" s="6"/>
      <c r="B33" s="40" t="s">
        <v>32</v>
      </c>
      <c r="C33" s="41">
        <f>C17-C31</f>
        <v>3048307.6926826676</v>
      </c>
      <c r="D33" s="41">
        <f>(C33+D17)-D31</f>
        <v>4469899.6054213354</v>
      </c>
      <c r="E33" s="41">
        <f>(D33+E17)-E31</f>
        <v>7292573.008944002</v>
      </c>
      <c r="F33" s="41">
        <v>0</v>
      </c>
      <c r="G33" s="41">
        <f>(E33+G17)-G31</f>
        <v>6743625.4630186697</v>
      </c>
      <c r="H33" s="41">
        <f>(G33+H17)-H31</f>
        <v>6295676.1227173368</v>
      </c>
      <c r="I33" s="41">
        <f>(H33+I17)-I31</f>
        <v>20203818.609280005</v>
      </c>
      <c r="J33" s="41">
        <v>0</v>
      </c>
      <c r="K33" s="42">
        <f>SUM(J33,F33)</f>
        <v>0</v>
      </c>
    </row>
    <row r="34" spans="1:23" s="35" customFormat="1" ht="19.5" thickTop="1" x14ac:dyDescent="0.3">
      <c r="A34" s="43"/>
      <c r="B34" s="43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3"/>
      <c r="V34" s="43"/>
      <c r="W34" s="43"/>
    </row>
    <row r="35" spans="1:23" s="4" customFormat="1" ht="19.5" thickBot="1" x14ac:dyDescent="0.35">
      <c r="A35" s="6"/>
      <c r="B35" s="45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5"/>
      <c r="T35" s="6"/>
      <c r="U35" s="6"/>
      <c r="V35" s="7"/>
    </row>
    <row r="36" spans="1:23" s="4" customFormat="1" ht="19.5" thickTop="1" x14ac:dyDescent="0.3">
      <c r="A36" s="6"/>
      <c r="B36" s="20" t="s">
        <v>3</v>
      </c>
      <c r="C36" s="1" t="s">
        <v>4</v>
      </c>
      <c r="D36" s="1"/>
      <c r="E36" s="1"/>
      <c r="F36" s="1"/>
      <c r="G36" s="1"/>
      <c r="H36" s="1"/>
      <c r="I36" s="1"/>
      <c r="J36" s="1"/>
      <c r="K36" s="1"/>
      <c r="L36" s="47"/>
      <c r="M36" s="47"/>
      <c r="N36" s="47"/>
      <c r="O36" s="47"/>
      <c r="P36" s="47"/>
      <c r="Q36" s="47"/>
      <c r="R36" s="47"/>
      <c r="T36" s="6"/>
      <c r="U36" s="6"/>
      <c r="V36" s="5"/>
    </row>
    <row r="37" spans="1:23" s="4" customFormat="1" x14ac:dyDescent="0.3">
      <c r="A37" s="6"/>
      <c r="B37" s="21" t="s">
        <v>5</v>
      </c>
      <c r="C37" s="23" t="s">
        <v>33</v>
      </c>
      <c r="D37" s="23" t="s">
        <v>34</v>
      </c>
      <c r="E37" s="23" t="s">
        <v>35</v>
      </c>
      <c r="F37" s="23" t="s">
        <v>36</v>
      </c>
      <c r="G37" s="23" t="s">
        <v>37</v>
      </c>
      <c r="H37" s="23" t="s">
        <v>38</v>
      </c>
      <c r="I37" s="23" t="s">
        <v>39</v>
      </c>
      <c r="J37" s="23" t="s">
        <v>40</v>
      </c>
      <c r="K37" s="24" t="s">
        <v>41</v>
      </c>
      <c r="L37" s="47"/>
      <c r="M37" s="47"/>
      <c r="N37" s="47"/>
      <c r="O37" s="47"/>
      <c r="P37" s="47"/>
      <c r="Q37" s="47"/>
      <c r="R37" s="47"/>
      <c r="T37" s="6"/>
      <c r="U37" s="6"/>
      <c r="V37" s="5"/>
    </row>
    <row r="38" spans="1:23" s="4" customFormat="1" x14ac:dyDescent="0.3">
      <c r="A38" s="6"/>
      <c r="B38" s="25" t="s">
        <v>15</v>
      </c>
      <c r="C38" s="28">
        <f>B11*5.23%</f>
        <v>1123873.6498160001</v>
      </c>
      <c r="D38" s="28">
        <f>B11*5.95%</f>
        <v>1278594.3052400001</v>
      </c>
      <c r="E38" s="28">
        <f>B11*4.76%</f>
        <v>1022875.444192</v>
      </c>
      <c r="F38" s="27">
        <f>SUM(C38:E38)</f>
        <v>3425343.3992480002</v>
      </c>
      <c r="G38" s="28">
        <f>B11*2.34%</f>
        <v>502842.13012799999</v>
      </c>
      <c r="H38" s="28">
        <f>B11*2.33%</f>
        <v>500693.23213600006</v>
      </c>
      <c r="I38" s="28">
        <f>B11*3.49%</f>
        <v>749965.39920800005</v>
      </c>
      <c r="J38" s="27">
        <f>SUM(G38:I38)</f>
        <v>1753500.7614720003</v>
      </c>
      <c r="K38" s="29">
        <f>SUM(J38,F38,J14,F14)</f>
        <v>21488979.920000002</v>
      </c>
      <c r="L38" s="47"/>
      <c r="M38" s="47"/>
      <c r="N38" s="47"/>
      <c r="O38" s="47"/>
      <c r="P38" s="47"/>
      <c r="Q38" s="47"/>
      <c r="R38" s="47"/>
      <c r="T38" s="6"/>
      <c r="U38" s="6"/>
      <c r="V38" s="5"/>
    </row>
    <row r="39" spans="1:23" s="4" customFormat="1" x14ac:dyDescent="0.3">
      <c r="B39" s="25" t="s">
        <v>16</v>
      </c>
      <c r="C39" s="28">
        <v>0</v>
      </c>
      <c r="D39" s="28">
        <v>0</v>
      </c>
      <c r="E39" s="28">
        <v>0</v>
      </c>
      <c r="F39" s="27">
        <f>SUM(C39:E39)</f>
        <v>0</v>
      </c>
      <c r="G39" s="28">
        <v>0</v>
      </c>
      <c r="H39" s="28">
        <v>0</v>
      </c>
      <c r="I39" s="28">
        <v>0</v>
      </c>
      <c r="J39" s="27">
        <f>SUM(G39:I39)</f>
        <v>0</v>
      </c>
      <c r="K39" s="29">
        <f>SUM(J39,F39,J15,F15)</f>
        <v>0</v>
      </c>
      <c r="L39" s="47"/>
      <c r="M39" s="47"/>
      <c r="N39" s="47"/>
      <c r="O39" s="47"/>
      <c r="P39" s="47"/>
      <c r="Q39" s="47"/>
      <c r="R39" s="47"/>
      <c r="T39" s="6"/>
      <c r="U39" s="6"/>
      <c r="V39" s="5"/>
    </row>
    <row r="40" spans="1:23" s="4" customFormat="1" x14ac:dyDescent="0.3">
      <c r="B40" s="64" t="s">
        <v>42</v>
      </c>
      <c r="C40" s="28">
        <v>0</v>
      </c>
      <c r="D40" s="28">
        <v>0</v>
      </c>
      <c r="E40" s="28">
        <v>0</v>
      </c>
      <c r="F40" s="27">
        <f>SUM(C40:E40)</f>
        <v>0</v>
      </c>
      <c r="G40" s="28">
        <v>0</v>
      </c>
      <c r="H40" s="28">
        <v>0</v>
      </c>
      <c r="I40" s="28">
        <v>0</v>
      </c>
      <c r="J40" s="27">
        <f>SUM(G40:I40)</f>
        <v>0</v>
      </c>
      <c r="K40" s="29">
        <f>SUM(J40,F40,J16,F16)</f>
        <v>14588172.810000001</v>
      </c>
      <c r="L40" s="47"/>
      <c r="M40" s="47"/>
      <c r="N40" s="47"/>
      <c r="O40" s="47"/>
      <c r="P40" s="47"/>
      <c r="Q40" s="47"/>
      <c r="R40" s="47"/>
      <c r="T40" s="6"/>
      <c r="U40" s="6"/>
      <c r="V40" s="5"/>
    </row>
    <row r="41" spans="1:23" x14ac:dyDescent="0.3">
      <c r="B41" s="30" t="s">
        <v>17</v>
      </c>
      <c r="C41" s="31">
        <f>SUM(C38:C40)</f>
        <v>1123873.6498160001</v>
      </c>
      <c r="D41" s="31">
        <f>SUM(D38:D40)</f>
        <v>1278594.3052400001</v>
      </c>
      <c r="E41" s="31">
        <f>SUM(E38:E40)</f>
        <v>1022875.444192</v>
      </c>
      <c r="F41" s="27">
        <f>SUM(C41:E41)</f>
        <v>3425343.3992480002</v>
      </c>
      <c r="G41" s="31">
        <f>SUM(G38:G40)</f>
        <v>502842.13012799999</v>
      </c>
      <c r="H41" s="31">
        <f>SUM(H38:H40)</f>
        <v>500693.23213600006</v>
      </c>
      <c r="I41" s="31">
        <f>SUM(I38:I40)</f>
        <v>749965.39920800005</v>
      </c>
      <c r="J41" s="27">
        <f>SUM(G41:I41)</f>
        <v>1753500.7614720003</v>
      </c>
      <c r="K41" s="29">
        <f>SUM(J41,F41,J17,F17)</f>
        <v>36077152.730000004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3" ht="19.5" thickBot="1" x14ac:dyDescent="0.35">
      <c r="B42" s="32" t="s">
        <v>18</v>
      </c>
      <c r="C42" s="33">
        <f>C41/$K$41</f>
        <v>3.1151949773504203E-2</v>
      </c>
      <c r="D42" s="33">
        <f>D41/$K$41</f>
        <v>3.544055471364245E-2</v>
      </c>
      <c r="E42" s="33">
        <f>E41/$K$41</f>
        <v>2.8352443770913952E-2</v>
      </c>
      <c r="F42" s="33">
        <f>F41/$K$41</f>
        <v>9.4944948258060602E-2</v>
      </c>
      <c r="G42" s="33">
        <f>G41/$K$41</f>
        <v>1.3937966055449297E-2</v>
      </c>
      <c r="H42" s="33">
        <f>H41/$K$41</f>
        <v>1.3878402097947379E-2</v>
      </c>
      <c r="I42" s="33">
        <f>I41/$K$41</f>
        <v>2.0787821168170108E-2</v>
      </c>
      <c r="J42" s="33">
        <f>J41/$K$41</f>
        <v>4.8604189321566786E-2</v>
      </c>
      <c r="K42" s="34">
        <f>K41/$K$41</f>
        <v>1</v>
      </c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9"/>
    </row>
    <row r="43" spans="1:23" x14ac:dyDescent="0.3">
      <c r="B43" s="36" t="s">
        <v>19</v>
      </c>
      <c r="C43" s="27">
        <f>C44+C45+C46+C47+C48</f>
        <v>3695851.0625</v>
      </c>
      <c r="D43" s="27">
        <f>D44+D45+D46+D47+D48</f>
        <v>3695851.0625</v>
      </c>
      <c r="E43" s="27">
        <f>E44+E45+E46+E47+E48</f>
        <v>3695851.0625</v>
      </c>
      <c r="F43" s="27">
        <f>SUM(C43:E43)</f>
        <v>11087553.1875</v>
      </c>
      <c r="G43" s="27">
        <f>G44+G45+G46+G47+G48</f>
        <v>3695851.0625</v>
      </c>
      <c r="H43" s="27">
        <f>H44+H45+H46+H47+H48</f>
        <v>3695851.0625</v>
      </c>
      <c r="I43" s="27">
        <f>I44+I45+I46+I47+I48</f>
        <v>3695851.0625</v>
      </c>
      <c r="J43" s="27">
        <f>SUM(G43:I43)</f>
        <v>11087553.1875</v>
      </c>
      <c r="K43" s="29">
        <f>SUM(J43,F43,J19,F19)</f>
        <v>32832039.939999998</v>
      </c>
    </row>
    <row r="44" spans="1:23" x14ac:dyDescent="0.3">
      <c r="B44" s="25" t="s">
        <v>20</v>
      </c>
      <c r="C44" s="28">
        <f>$E$20</f>
        <v>662235.09250000003</v>
      </c>
      <c r="D44" s="28">
        <f>$E$20</f>
        <v>662235.09250000003</v>
      </c>
      <c r="E44" s="28">
        <f>$E$20</f>
        <v>662235.09250000003</v>
      </c>
      <c r="F44" s="28">
        <f>SUM(C44:E44)</f>
        <v>1986705.2775000001</v>
      </c>
      <c r="G44" s="28">
        <f>$E$20</f>
        <v>662235.09250000003</v>
      </c>
      <c r="H44" s="28">
        <f>$E$20</f>
        <v>662235.09250000003</v>
      </c>
      <c r="I44" s="28">
        <f>$E$20</f>
        <v>662235.09250000003</v>
      </c>
      <c r="J44" s="28">
        <f>SUM(G44:I44)</f>
        <v>1986705.2775000001</v>
      </c>
      <c r="K44" s="38">
        <f>SUM(J44,F44,J20,F20)</f>
        <v>7946821.1100000003</v>
      </c>
    </row>
    <row r="45" spans="1:23" x14ac:dyDescent="0.3">
      <c r="B45" s="25" t="s">
        <v>21</v>
      </c>
      <c r="C45" s="28">
        <f>$C$21</f>
        <v>0</v>
      </c>
      <c r="D45" s="28">
        <f>$C$21</f>
        <v>0</v>
      </c>
      <c r="E45" s="28">
        <f>$C$21</f>
        <v>0</v>
      </c>
      <c r="F45" s="28">
        <f>SUM(C45:E45)</f>
        <v>0</v>
      </c>
      <c r="G45" s="28">
        <f>$C$21</f>
        <v>0</v>
      </c>
      <c r="H45" s="28">
        <f>$C$21</f>
        <v>0</v>
      </c>
      <c r="I45" s="28">
        <f>$C$21</f>
        <v>0</v>
      </c>
      <c r="J45" s="28">
        <f>SUM(G45:I45)</f>
        <v>0</v>
      </c>
      <c r="K45" s="29">
        <f>SUM(J45,F45,J21,F21)</f>
        <v>0</v>
      </c>
    </row>
    <row r="46" spans="1:23" x14ac:dyDescent="0.3">
      <c r="B46" s="25" t="s">
        <v>22</v>
      </c>
      <c r="C46" s="28">
        <f>$C$22</f>
        <v>44815.704999999994</v>
      </c>
      <c r="D46" s="28">
        <f>$C$22</f>
        <v>44815.704999999994</v>
      </c>
      <c r="E46" s="28">
        <f>$C$22</f>
        <v>44815.704999999994</v>
      </c>
      <c r="F46" s="28">
        <f>SUM(C46:E46)</f>
        <v>134447.11499999999</v>
      </c>
      <c r="G46" s="28">
        <f>$C$22</f>
        <v>44815.704999999994</v>
      </c>
      <c r="H46" s="28">
        <f>$C$22</f>
        <v>44815.704999999994</v>
      </c>
      <c r="I46" s="28">
        <f>$C$22</f>
        <v>44815.704999999994</v>
      </c>
      <c r="J46" s="28">
        <f>SUM(G46:I46)</f>
        <v>134447.11499999999</v>
      </c>
      <c r="K46" s="38">
        <f>SUM(J46,F46,J22,F22)</f>
        <v>537788.46</v>
      </c>
    </row>
    <row r="47" spans="1:23" x14ac:dyDescent="0.3">
      <c r="B47" s="25" t="s">
        <v>23</v>
      </c>
      <c r="C47" s="28">
        <f>$C$23+D63</f>
        <v>64477.083333333328</v>
      </c>
      <c r="D47" s="28">
        <f>$C$23+D63</f>
        <v>64477.083333333328</v>
      </c>
      <c r="E47" s="28">
        <f>$C$23+D63</f>
        <v>64477.083333333328</v>
      </c>
      <c r="F47" s="28">
        <f>SUM(C47:E47)</f>
        <v>193431.25</v>
      </c>
      <c r="G47" s="28">
        <f>$C$23+D63</f>
        <v>64477.083333333328</v>
      </c>
      <c r="H47" s="28">
        <f>$C$23+D63</f>
        <v>64477.083333333328</v>
      </c>
      <c r="I47" s="28">
        <f>$C$23+D63</f>
        <v>64477.083333333328</v>
      </c>
      <c r="J47" s="28">
        <f>SUM(G47:I47)</f>
        <v>193431.25</v>
      </c>
      <c r="K47" s="38">
        <f>SUM(J47,F47,J23,F23)</f>
        <v>463725</v>
      </c>
    </row>
    <row r="48" spans="1:23" x14ac:dyDescent="0.3">
      <c r="B48" s="25" t="s">
        <v>24</v>
      </c>
      <c r="C48" s="28">
        <f>$C$24+D64</f>
        <v>2924323.1816666666</v>
      </c>
      <c r="D48" s="28">
        <f>$C$24+D64</f>
        <v>2924323.1816666666</v>
      </c>
      <c r="E48" s="28">
        <f>$C$24+D64</f>
        <v>2924323.1816666666</v>
      </c>
      <c r="F48" s="28">
        <f>SUM(C48:E48)</f>
        <v>8772969.5449999999</v>
      </c>
      <c r="G48" s="28">
        <f>$C$24+D64</f>
        <v>2924323.1816666666</v>
      </c>
      <c r="H48" s="28">
        <f>$C$24+D64</f>
        <v>2924323.1816666666</v>
      </c>
      <c r="I48" s="28">
        <f>$C$24+D64</f>
        <v>2924323.1816666666</v>
      </c>
      <c r="J48" s="28">
        <f>SUM(G48:I48)</f>
        <v>8772969.5449999999</v>
      </c>
      <c r="K48" s="38">
        <f>SUM(J48,F48,J24,F24)</f>
        <v>23883705.370000001</v>
      </c>
    </row>
    <row r="49" spans="2:11" x14ac:dyDescent="0.3">
      <c r="B49" s="36" t="s">
        <v>25</v>
      </c>
      <c r="C49" s="37">
        <f>C50</f>
        <v>351259.39916666667</v>
      </c>
      <c r="D49" s="37">
        <f>D50</f>
        <v>351259.39916666667</v>
      </c>
      <c r="E49" s="37">
        <f>E50</f>
        <v>351259.39916666667</v>
      </c>
      <c r="F49" s="37">
        <f>SUM(C49:E49)</f>
        <v>1053778.1975</v>
      </c>
      <c r="G49" s="37">
        <f>G50</f>
        <v>384592.73249999998</v>
      </c>
      <c r="H49" s="37">
        <f>H50</f>
        <v>384592.73249999998</v>
      </c>
      <c r="I49" s="37">
        <f>I50</f>
        <v>384592.73249999998</v>
      </c>
      <c r="J49" s="37">
        <f>SUM(G49:I49)</f>
        <v>1153778.1975</v>
      </c>
      <c r="K49" s="29">
        <f>SUM(J49,F49,J25,F25)</f>
        <v>2245112.7899999996</v>
      </c>
    </row>
    <row r="50" spans="2:11" x14ac:dyDescent="0.3">
      <c r="B50" s="25" t="s">
        <v>26</v>
      </c>
      <c r="C50" s="28">
        <f>SUM(C51:C53)</f>
        <v>351259.39916666667</v>
      </c>
      <c r="D50" s="28">
        <f>SUM(D51:D53)</f>
        <v>351259.39916666667</v>
      </c>
      <c r="E50" s="28">
        <f>SUM(E51:E53)</f>
        <v>351259.39916666667</v>
      </c>
      <c r="F50" s="28">
        <f>SUM(C50:E50)</f>
        <v>1053778.1975</v>
      </c>
      <c r="G50" s="28">
        <f>SUM(G51:G53)</f>
        <v>384592.73249999998</v>
      </c>
      <c r="H50" s="28">
        <f>SUM(H51:H53)</f>
        <v>384592.73249999998</v>
      </c>
      <c r="I50" s="28">
        <f>SUM(I51:I53)</f>
        <v>384592.73249999998</v>
      </c>
      <c r="J50" s="28">
        <f>SUM(G50:I50)</f>
        <v>1153778.1975</v>
      </c>
      <c r="K50" s="38">
        <f>SUM(J50,F50,J26,F26)</f>
        <v>2245112.7899999996</v>
      </c>
    </row>
    <row r="51" spans="2:11" x14ac:dyDescent="0.3">
      <c r="B51" s="25" t="s">
        <v>27</v>
      </c>
      <c r="C51" s="28">
        <f>$C$27</f>
        <v>1666.6666666666667</v>
      </c>
      <c r="D51" s="28">
        <f>$C$27</f>
        <v>1666.6666666666667</v>
      </c>
      <c r="E51" s="28">
        <f>$C$27</f>
        <v>1666.6666666666667</v>
      </c>
      <c r="F51" s="28">
        <f>SUM(C51:E51)</f>
        <v>5000</v>
      </c>
      <c r="G51" s="28">
        <f>$C$27</f>
        <v>1666.6666666666667</v>
      </c>
      <c r="H51" s="28">
        <f>$C$27</f>
        <v>1666.6666666666667</v>
      </c>
      <c r="I51" s="28">
        <f>$C$27</f>
        <v>1666.6666666666667</v>
      </c>
      <c r="J51" s="28">
        <f>SUM(G51:I51)</f>
        <v>5000</v>
      </c>
      <c r="K51" s="38">
        <f>SUM(J51,F51,J27,F27)</f>
        <v>20000</v>
      </c>
    </row>
    <row r="52" spans="2:11" x14ac:dyDescent="0.3">
      <c r="B52" s="25" t="s">
        <v>28</v>
      </c>
      <c r="C52" s="28">
        <f>$C$28+D66</f>
        <v>74592.732499999998</v>
      </c>
      <c r="D52" s="28">
        <f>$C$28+D66</f>
        <v>74592.732499999998</v>
      </c>
      <c r="E52" s="28">
        <f>$C$28+D66</f>
        <v>74592.732499999998</v>
      </c>
      <c r="F52" s="28">
        <f>SUM(C52:E52)</f>
        <v>223778.19750000001</v>
      </c>
      <c r="G52" s="28">
        <f>$C$28+D66</f>
        <v>74592.732499999998</v>
      </c>
      <c r="H52" s="28">
        <f>$C$28+D66</f>
        <v>74592.732499999998</v>
      </c>
      <c r="I52" s="28">
        <f>$C$28+D66</f>
        <v>74592.732499999998</v>
      </c>
      <c r="J52" s="28">
        <f>SUM(G52:I52)</f>
        <v>223778.19750000001</v>
      </c>
      <c r="K52" s="38">
        <f>SUM(J52,F52,J28,F28)</f>
        <v>475112.79000000004</v>
      </c>
    </row>
    <row r="53" spans="2:11" x14ac:dyDescent="0.3">
      <c r="B53" s="25" t="s">
        <v>29</v>
      </c>
      <c r="C53" s="28">
        <f>D67</f>
        <v>275000</v>
      </c>
      <c r="D53" s="28">
        <f>D67</f>
        <v>275000</v>
      </c>
      <c r="E53" s="28">
        <f>D67</f>
        <v>275000</v>
      </c>
      <c r="F53" s="28">
        <f>SUM(C53:E53)</f>
        <v>825000</v>
      </c>
      <c r="G53" s="28">
        <f>D67+D68</f>
        <v>308333.33333333331</v>
      </c>
      <c r="H53" s="28">
        <f>D67+D68</f>
        <v>308333.33333333331</v>
      </c>
      <c r="I53" s="28">
        <f>D67+D68</f>
        <v>308333.33333333331</v>
      </c>
      <c r="J53" s="28">
        <f>SUM(G53:I53)</f>
        <v>925000</v>
      </c>
      <c r="K53" s="38">
        <f>SUM(J53,F53,J29,F29)</f>
        <v>1750000</v>
      </c>
    </row>
    <row r="54" spans="2:11" x14ac:dyDescent="0.3">
      <c r="B54" s="36" t="s">
        <v>30</v>
      </c>
      <c r="C54" s="37">
        <v>0</v>
      </c>
      <c r="D54" s="37">
        <v>0</v>
      </c>
      <c r="E54" s="37">
        <v>0</v>
      </c>
      <c r="F54" s="37">
        <f>SUM(C54:E54)</f>
        <v>0</v>
      </c>
      <c r="G54" s="37">
        <v>0</v>
      </c>
      <c r="H54" s="37">
        <v>0</v>
      </c>
      <c r="I54" s="37">
        <f>C68</f>
        <v>1000000</v>
      </c>
      <c r="J54" s="37">
        <f>SUM(G54:I54)</f>
        <v>1000000</v>
      </c>
      <c r="K54" s="29">
        <f>SUM(J54,F54,J30,F30)</f>
        <v>1000000</v>
      </c>
    </row>
    <row r="55" spans="2:11" x14ac:dyDescent="0.3">
      <c r="B55" s="30" t="s">
        <v>31</v>
      </c>
      <c r="C55" s="31">
        <f>C43+C49</f>
        <v>4047110.4616666669</v>
      </c>
      <c r="D55" s="31">
        <f>D43+D49</f>
        <v>4047110.4616666669</v>
      </c>
      <c r="E55" s="31">
        <f>E43+E49</f>
        <v>4047110.4616666669</v>
      </c>
      <c r="F55" s="31">
        <f>F43+F49+F54</f>
        <v>12141331.385</v>
      </c>
      <c r="G55" s="31">
        <f>G43+G49</f>
        <v>4080443.7949999999</v>
      </c>
      <c r="H55" s="31">
        <f>H43+H49</f>
        <v>4080443.7949999999</v>
      </c>
      <c r="I55" s="31">
        <f>I43+I49+I54</f>
        <v>5080443.7949999999</v>
      </c>
      <c r="J55" s="31">
        <f>J43+J49+J54</f>
        <v>13241331.385</v>
      </c>
      <c r="K55" s="29">
        <f>SUM(J55,F55,J31,F31)</f>
        <v>36077152.729999997</v>
      </c>
    </row>
    <row r="56" spans="2:11" ht="19.5" thickBot="1" x14ac:dyDescent="0.35">
      <c r="B56" s="32" t="s">
        <v>18</v>
      </c>
      <c r="C56" s="33">
        <f>C55/$K$55</f>
        <v>0.11217932002436788</v>
      </c>
      <c r="D56" s="33">
        <f>D55/$K$55</f>
        <v>0.11217932002436788</v>
      </c>
      <c r="E56" s="33">
        <f>E55/$K$55</f>
        <v>0.11217932002436788</v>
      </c>
      <c r="F56" s="33">
        <f>F55/$K$55</f>
        <v>0.3365379600731036</v>
      </c>
      <c r="G56" s="33">
        <f>G55/$K$55</f>
        <v>0.1131032658130724</v>
      </c>
      <c r="H56" s="33">
        <f>H55/$K$55</f>
        <v>0.1131032658130724</v>
      </c>
      <c r="I56" s="33">
        <f>I55/$K$55</f>
        <v>0.14082163947420803</v>
      </c>
      <c r="J56" s="33">
        <f>J55/$K$55</f>
        <v>0.36702817110035285</v>
      </c>
      <c r="K56" s="39">
        <f>K55/$K$55</f>
        <v>1</v>
      </c>
    </row>
    <row r="57" spans="2:11" ht="20.25" thickTop="1" thickBot="1" x14ac:dyDescent="0.35">
      <c r="B57" s="40" t="s">
        <v>32</v>
      </c>
      <c r="C57" s="41">
        <f>(I33+C41)-C55</f>
        <v>17280581.797429338</v>
      </c>
      <c r="D57" s="41">
        <f>(C57+D41)-D55</f>
        <v>14512065.641002674</v>
      </c>
      <c r="E57" s="41">
        <f>(D57+E41)-E55</f>
        <v>11487830.623528007</v>
      </c>
      <c r="F57" s="41">
        <v>0</v>
      </c>
      <c r="G57" s="41">
        <f>(E57+G41)-G55</f>
        <v>7910228.9586560074</v>
      </c>
      <c r="H57" s="41">
        <f>(G57+H41)-H55</f>
        <v>4330478.3957920074</v>
      </c>
      <c r="I57" s="41">
        <f>(H57+I41)-I55</f>
        <v>7.4505805969238281E-9</v>
      </c>
      <c r="J57" s="41">
        <v>0</v>
      </c>
      <c r="K57" s="42">
        <f>SUM(J57,F57,J33,F33)</f>
        <v>0</v>
      </c>
    </row>
    <row r="58" spans="2:11" ht="19.5" thickTop="1" x14ac:dyDescent="0.3">
      <c r="B58" s="50"/>
      <c r="C58" s="50"/>
      <c r="D58" s="50"/>
      <c r="E58" s="50"/>
      <c r="F58" s="6"/>
      <c r="G58" s="6"/>
      <c r="H58" s="6"/>
      <c r="I58" s="6"/>
      <c r="J58" s="6"/>
      <c r="K58" s="6"/>
    </row>
    <row r="59" spans="2:11" x14ac:dyDescent="0.3">
      <c r="B59" s="15"/>
      <c r="C59" s="51"/>
      <c r="D59" s="51"/>
      <c r="E59" s="52"/>
      <c r="K59" s="4">
        <f>K41-K55</f>
        <v>0</v>
      </c>
    </row>
    <row r="60" spans="2:11" x14ac:dyDescent="0.3">
      <c r="B60" s="53" t="s">
        <v>20</v>
      </c>
      <c r="C60" s="63">
        <v>7946821.1100000003</v>
      </c>
      <c r="D60" s="55">
        <f>C60-K44</f>
        <v>0</v>
      </c>
      <c r="E60" s="52"/>
    </row>
    <row r="61" spans="2:11" x14ac:dyDescent="0.3">
      <c r="B61" s="53" t="s">
        <v>21</v>
      </c>
      <c r="C61" s="56">
        <v>0</v>
      </c>
      <c r="D61" s="55"/>
      <c r="E61" s="52"/>
    </row>
    <row r="62" spans="2:11" x14ac:dyDescent="0.3">
      <c r="B62" s="53" t="s">
        <v>22</v>
      </c>
      <c r="C62" s="63">
        <v>537788.46</v>
      </c>
      <c r="D62" s="55">
        <f>C62-K46</f>
        <v>0</v>
      </c>
      <c r="E62" s="52"/>
    </row>
    <row r="63" spans="2:11" x14ac:dyDescent="0.3">
      <c r="B63" s="53" t="s">
        <v>23</v>
      </c>
      <c r="C63" s="63">
        <v>153725</v>
      </c>
      <c r="D63" s="62">
        <f>310000/6</f>
        <v>51666.666666666664</v>
      </c>
      <c r="E63" s="52"/>
      <c r="K63" s="57"/>
    </row>
    <row r="64" spans="2:11" x14ac:dyDescent="0.3">
      <c r="B64" s="53" t="s">
        <v>24</v>
      </c>
      <c r="C64" s="58">
        <f>13367046.02-(C62+C63)</f>
        <v>12675532.559999999</v>
      </c>
      <c r="D64" s="62">
        <f>(11518172.81-310000)/6</f>
        <v>1868028.8016666668</v>
      </c>
      <c r="E64" s="52"/>
    </row>
    <row r="65" spans="2:5" x14ac:dyDescent="0.3">
      <c r="B65" s="53" t="s">
        <v>27</v>
      </c>
      <c r="C65" s="63">
        <v>20000</v>
      </c>
      <c r="D65" s="62">
        <v>0</v>
      </c>
      <c r="E65" s="52"/>
    </row>
    <row r="66" spans="2:5" x14ac:dyDescent="0.3">
      <c r="B66" s="53" t="s">
        <v>28</v>
      </c>
      <c r="C66" s="63">
        <v>55112.79</v>
      </c>
      <c r="D66" s="62">
        <f>420000/6</f>
        <v>70000</v>
      </c>
      <c r="E66" s="52"/>
    </row>
    <row r="67" spans="2:5" x14ac:dyDescent="0.3">
      <c r="B67" s="53" t="s">
        <v>29</v>
      </c>
      <c r="C67" s="58">
        <v>0</v>
      </c>
      <c r="D67" s="62">
        <f>1650000/6</f>
        <v>275000</v>
      </c>
      <c r="E67" s="52"/>
    </row>
    <row r="68" spans="2:5" x14ac:dyDescent="0.3">
      <c r="B68" s="59" t="s">
        <v>30</v>
      </c>
      <c r="C68" s="63">
        <v>1000000</v>
      </c>
      <c r="D68" s="62">
        <f>100000/3</f>
        <v>33333.333333333336</v>
      </c>
      <c r="E68" s="52"/>
    </row>
    <row r="69" spans="2:5" x14ac:dyDescent="0.3">
      <c r="B69" s="60"/>
      <c r="C69" s="61"/>
      <c r="D69" s="51"/>
      <c r="E69" s="52"/>
    </row>
    <row r="70" spans="2:5" x14ac:dyDescent="0.3">
      <c r="B70" s="60"/>
      <c r="C70" s="60"/>
      <c r="D70" s="51"/>
      <c r="E70" s="52"/>
    </row>
    <row r="71" spans="2:5" x14ac:dyDescent="0.3">
      <c r="B71" s="60"/>
      <c r="C71" s="60"/>
      <c r="D71" s="51"/>
      <c r="E71" s="52"/>
    </row>
    <row r="72" spans="2:5" x14ac:dyDescent="0.3">
      <c r="B72" s="51"/>
      <c r="C72" s="51"/>
      <c r="D72" s="51"/>
      <c r="E72" s="52"/>
    </row>
    <row r="73" spans="2:5" x14ac:dyDescent="0.3">
      <c r="B73" s="51"/>
      <c r="C73" s="51"/>
      <c r="D73" s="51"/>
      <c r="E73" s="52"/>
    </row>
    <row r="74" spans="2:5" x14ac:dyDescent="0.3">
      <c r="B74" s="51"/>
      <c r="C74" s="51"/>
      <c r="D74" s="51"/>
      <c r="E74" s="52"/>
    </row>
    <row r="75" spans="2:5" x14ac:dyDescent="0.3">
      <c r="B75" s="51"/>
      <c r="C75" s="52"/>
      <c r="D75" s="52"/>
      <c r="E75" s="52"/>
    </row>
    <row r="76" spans="2:5" x14ac:dyDescent="0.3">
      <c r="B76" s="51"/>
      <c r="C76" s="52"/>
      <c r="D76" s="52"/>
      <c r="E76" s="52"/>
    </row>
    <row r="77" spans="2:5" x14ac:dyDescent="0.3">
      <c r="B77" s="51"/>
      <c r="C77" s="52"/>
      <c r="D77" s="52"/>
      <c r="E77" s="52"/>
    </row>
    <row r="78" spans="2:5" x14ac:dyDescent="0.3">
      <c r="B78" s="51"/>
      <c r="C78" s="52"/>
      <c r="D78" s="52"/>
      <c r="E78" s="52"/>
    </row>
    <row r="79" spans="2:5" x14ac:dyDescent="0.3">
      <c r="B79" s="51"/>
      <c r="C79" s="52"/>
      <c r="D79" s="52"/>
      <c r="E79" s="52"/>
    </row>
    <row r="80" spans="2:5" x14ac:dyDescent="0.3">
      <c r="B80" s="52"/>
      <c r="C80" s="52"/>
      <c r="D80" s="52"/>
      <c r="E80" s="52"/>
    </row>
    <row r="81" spans="2:5" x14ac:dyDescent="0.3">
      <c r="B81" s="52"/>
      <c r="C81" s="52"/>
      <c r="D81" s="52"/>
      <c r="E81" s="52"/>
    </row>
    <row r="82" spans="2:5" x14ac:dyDescent="0.3">
      <c r="B82" s="52"/>
      <c r="C82" s="52"/>
      <c r="D82" s="52"/>
      <c r="E82" s="52"/>
    </row>
    <row r="83" spans="2:5" x14ac:dyDescent="0.3">
      <c r="B83" s="52"/>
      <c r="C83" s="52"/>
      <c r="D83" s="52"/>
      <c r="E83" s="52"/>
    </row>
    <row r="84" spans="2:5" x14ac:dyDescent="0.3">
      <c r="B84" s="52"/>
      <c r="C84" s="52"/>
      <c r="D84" s="52"/>
      <c r="E84" s="52"/>
    </row>
  </sheetData>
  <mergeCells count="4">
    <mergeCell ref="T6:U6"/>
    <mergeCell ref="C8:I8"/>
    <mergeCell ref="C12:K12"/>
    <mergeCell ref="C36:K36"/>
  </mergeCells>
  <dataValidations count="1">
    <dataValidation allowBlank="1" showInputMessage="1" showErrorMessage="1" promptTitle="Não Preencher!" prompt="Cálculo Automático" sqref="F14:F17 J14:K17 C19:K20 F21:F28 J21:K24 C25:E26 G25:K26 J27:K29 C30:K30 K31 C33:K33 F38:F41 J38:K41 C43:K44 F45:F54 J45:K48 C49:E50 G49:K50 J51:K53 C54:E54 G54:K54 K55 C57:K57">
      <formula1>0</formula1>
      <formula2>0</formula2>
    </dataValidation>
  </dataValidations>
  <printOptions horizontalCentered="1"/>
  <pageMargins left="0.39374999999999999" right="0.39374999999999999" top="0.39374999999999999" bottom="0.39374999999999999" header="0.51180555555555496" footer="0.51180555555555496"/>
  <pageSetup paperSize="9" firstPageNumber="0" orientation="landscape" horizontalDpi="300" verticalDpi="30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Cronog.Desembolso2022</vt:lpstr>
      <vt:lpstr>Cronog.Desemb.2022REFORMULAÇÃO</vt:lpstr>
      <vt:lpstr>Cronog.Desemb.2022REFORMULAÇÃO!Area_de_impressao</vt:lpstr>
      <vt:lpstr>Cronog.Desembolso2022!Area_de_impressao</vt:lpstr>
    </vt:vector>
  </TitlesOfParts>
  <Company>FINEP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FINEP</dc:creator>
  <dc:description/>
  <cp:lastModifiedBy>Ediluci Cristiane Silva Santos</cp:lastModifiedBy>
  <cp:revision>5</cp:revision>
  <cp:lastPrinted>2018-12-17T11:53:05Z</cp:lastPrinted>
  <dcterms:created xsi:type="dcterms:W3CDTF">2000-04-06T17:53:08Z</dcterms:created>
  <dcterms:modified xsi:type="dcterms:W3CDTF">2024-09-26T18:46:21Z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FINEP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