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7.88.25\Coren\FINANCEIRO\51. PRESTACAO_CONTAS\Prestação de Contas Anuais\CRONOGRAMA DE DESEMBOLSO\"/>
    </mc:Choice>
  </mc:AlternateContent>
  <bookViews>
    <workbookView xWindow="0" yWindow="0" windowWidth="28800" windowHeight="12330" tabRatio="500"/>
  </bookViews>
  <sheets>
    <sheet name="Cronog.Desembolso2023" sheetId="9" r:id="rId1"/>
    <sheet name="Cronog.Desemb.2023REFORMULAÇÃO" sheetId="10" r:id="rId2"/>
  </sheets>
  <definedNames>
    <definedName name="_xlnm.Print_Area" localSheetId="1">Cronog.Desemb.2023REFORMULAÇÃO!$B$1:$K$56</definedName>
    <definedName name="_xlnm.Print_Area" localSheetId="0">Cronog.Desembolso2023!$B$1:$K$56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10" l="1"/>
  <c r="F14" i="10" s="1"/>
  <c r="D14" i="10"/>
  <c r="E14" i="10"/>
  <c r="G14" i="10"/>
  <c r="H14" i="10"/>
  <c r="I14" i="10"/>
  <c r="J14" i="10"/>
  <c r="K14" i="10" s="1"/>
  <c r="F15" i="10"/>
  <c r="J15" i="10"/>
  <c r="K15" i="10"/>
  <c r="C16" i="10"/>
  <c r="F16" i="10" s="1"/>
  <c r="D16" i="10"/>
  <c r="E16" i="10"/>
  <c r="G16" i="10"/>
  <c r="H16" i="10"/>
  <c r="I16" i="10"/>
  <c r="J16" i="10"/>
  <c r="C19" i="10"/>
  <c r="D19" i="10"/>
  <c r="F19" i="10" s="1"/>
  <c r="E19" i="10"/>
  <c r="G19" i="10"/>
  <c r="C20" i="10"/>
  <c r="F20" i="10" s="1"/>
  <c r="D20" i="10"/>
  <c r="E20" i="10"/>
  <c r="C21" i="10"/>
  <c r="I21" i="10" s="1"/>
  <c r="E21" i="10"/>
  <c r="G21" i="10"/>
  <c r="H21" i="10"/>
  <c r="C22" i="10"/>
  <c r="F22" i="10" s="1"/>
  <c r="D22" i="10"/>
  <c r="E22" i="10"/>
  <c r="H22" i="10"/>
  <c r="I22" i="10"/>
  <c r="E25" i="10"/>
  <c r="E24" i="10" s="1"/>
  <c r="C26" i="10"/>
  <c r="C25" i="10" s="1"/>
  <c r="D26" i="10"/>
  <c r="D25" i="10" s="1"/>
  <c r="D24" i="10" s="1"/>
  <c r="E26" i="10"/>
  <c r="H26" i="10"/>
  <c r="H25" i="10" s="1"/>
  <c r="H24" i="10" s="1"/>
  <c r="I26" i="10"/>
  <c r="I25" i="10" s="1"/>
  <c r="I24" i="10" s="1"/>
  <c r="C27" i="10"/>
  <c r="D27" i="10"/>
  <c r="E27" i="10"/>
  <c r="F27" i="10" s="1"/>
  <c r="G27" i="10"/>
  <c r="J27" i="10" s="1"/>
  <c r="K27" i="10" s="1"/>
  <c r="H27" i="10"/>
  <c r="I27" i="10"/>
  <c r="J28" i="10"/>
  <c r="K28" i="10"/>
  <c r="F29" i="10"/>
  <c r="K29" i="10" s="1"/>
  <c r="J29" i="10"/>
  <c r="K32" i="10"/>
  <c r="C37" i="10"/>
  <c r="F37" i="10" s="1"/>
  <c r="D37" i="10"/>
  <c r="D39" i="10" s="1"/>
  <c r="E37" i="10"/>
  <c r="G37" i="10"/>
  <c r="H37" i="10"/>
  <c r="J37" i="10" s="1"/>
  <c r="K37" i="10" s="1"/>
  <c r="F38" i="10"/>
  <c r="K38" i="10" s="1"/>
  <c r="J38" i="10"/>
  <c r="C39" i="10"/>
  <c r="F39" i="10" s="1"/>
  <c r="E39" i="10"/>
  <c r="G39" i="10"/>
  <c r="I39" i="10"/>
  <c r="C42" i="10"/>
  <c r="D42" i="10"/>
  <c r="E42" i="10"/>
  <c r="F42" i="10"/>
  <c r="G42" i="10"/>
  <c r="H42" i="10"/>
  <c r="I42" i="10"/>
  <c r="C43" i="10"/>
  <c r="D43" i="10"/>
  <c r="E43" i="10"/>
  <c r="F43" i="10" s="1"/>
  <c r="G43" i="10"/>
  <c r="H43" i="10"/>
  <c r="I43" i="10"/>
  <c r="J43" i="10" s="1"/>
  <c r="C44" i="10"/>
  <c r="F44" i="10" s="1"/>
  <c r="D44" i="10"/>
  <c r="E44" i="10"/>
  <c r="G44" i="10"/>
  <c r="J44" i="10" s="1"/>
  <c r="H44" i="10"/>
  <c r="I44" i="10"/>
  <c r="C45" i="10"/>
  <c r="F45" i="10" s="1"/>
  <c r="D45" i="10"/>
  <c r="E45" i="10"/>
  <c r="G45" i="10"/>
  <c r="H45" i="10"/>
  <c r="J45" i="10" s="1"/>
  <c r="I45" i="10"/>
  <c r="C49" i="10"/>
  <c r="C48" i="10" s="1"/>
  <c r="D49" i="10"/>
  <c r="D48" i="10" s="1"/>
  <c r="D47" i="10" s="1"/>
  <c r="E49" i="10"/>
  <c r="E48" i="10" s="1"/>
  <c r="E47" i="10" s="1"/>
  <c r="G49" i="10"/>
  <c r="G48" i="10" s="1"/>
  <c r="H49" i="10"/>
  <c r="J49" i="10" s="1"/>
  <c r="I49" i="10"/>
  <c r="C50" i="10"/>
  <c r="D50" i="10"/>
  <c r="E50" i="10"/>
  <c r="F50" i="10"/>
  <c r="G50" i="10"/>
  <c r="H50" i="10"/>
  <c r="H48" i="10" s="1"/>
  <c r="H47" i="10" s="1"/>
  <c r="I50" i="10"/>
  <c r="I48" i="10" s="1"/>
  <c r="I47" i="10" s="1"/>
  <c r="F51" i="10"/>
  <c r="I51" i="10"/>
  <c r="K51" i="10"/>
  <c r="F52" i="10"/>
  <c r="I52" i="10"/>
  <c r="J52" i="10" s="1"/>
  <c r="K52" i="10" s="1"/>
  <c r="D66" i="10" s="1"/>
  <c r="K55" i="10"/>
  <c r="C62" i="10"/>
  <c r="C23" i="10" s="1"/>
  <c r="G46" i="10" l="1"/>
  <c r="H46" i="10"/>
  <c r="I46" i="10"/>
  <c r="I41" i="10" s="1"/>
  <c r="I53" i="10" s="1"/>
  <c r="G23" i="10"/>
  <c r="J23" i="10" s="1"/>
  <c r="D23" i="10"/>
  <c r="E23" i="10"/>
  <c r="E18" i="10" s="1"/>
  <c r="E30" i="10" s="1"/>
  <c r="F23" i="10"/>
  <c r="H23" i="10"/>
  <c r="C46" i="10"/>
  <c r="I23" i="10"/>
  <c r="D46" i="10"/>
  <c r="D41" i="10" s="1"/>
  <c r="D53" i="10" s="1"/>
  <c r="E46" i="10"/>
  <c r="E41" i="10" s="1"/>
  <c r="E53" i="10" s="1"/>
  <c r="H41" i="10"/>
  <c r="H53" i="10" s="1"/>
  <c r="K16" i="10"/>
  <c r="G47" i="10"/>
  <c r="J47" i="10" s="1"/>
  <c r="J48" i="10"/>
  <c r="G41" i="10"/>
  <c r="C47" i="10"/>
  <c r="F47" i="10" s="1"/>
  <c r="F48" i="10"/>
  <c r="J21" i="10"/>
  <c r="C24" i="10"/>
  <c r="F24" i="10" s="1"/>
  <c r="F25" i="10"/>
  <c r="C41" i="10"/>
  <c r="C68" i="10"/>
  <c r="C73" i="10" s="1"/>
  <c r="H39" i="10"/>
  <c r="G26" i="10"/>
  <c r="G22" i="10"/>
  <c r="J22" i="10" s="1"/>
  <c r="K22" i="10" s="1"/>
  <c r="D21" i="10"/>
  <c r="F21" i="10" s="1"/>
  <c r="F26" i="10"/>
  <c r="I19" i="10"/>
  <c r="H19" i="10"/>
  <c r="I20" i="10"/>
  <c r="C18" i="10"/>
  <c r="H20" i="10"/>
  <c r="G20" i="10"/>
  <c r="J50" i="10"/>
  <c r="K50" i="10" s="1"/>
  <c r="D64" i="10" s="1"/>
  <c r="J42" i="10"/>
  <c r="F49" i="10"/>
  <c r="C31" i="9"/>
  <c r="K39" i="9"/>
  <c r="K17" i="9"/>
  <c r="J37" i="9"/>
  <c r="F37" i="9"/>
  <c r="K14" i="9"/>
  <c r="J14" i="9"/>
  <c r="F14" i="9"/>
  <c r="K37" i="9"/>
  <c r="I37" i="9"/>
  <c r="H37" i="9"/>
  <c r="G37" i="9"/>
  <c r="E37" i="9"/>
  <c r="D37" i="9"/>
  <c r="C37" i="9"/>
  <c r="I14" i="9"/>
  <c r="H14" i="9"/>
  <c r="G14" i="9"/>
  <c r="E14" i="9"/>
  <c r="D14" i="9"/>
  <c r="C14" i="9"/>
  <c r="C62" i="9"/>
  <c r="C68" i="9" s="1"/>
  <c r="C73" i="9" s="1"/>
  <c r="K55" i="9"/>
  <c r="I52" i="9"/>
  <c r="J52" i="9" s="1"/>
  <c r="K52" i="9" s="1"/>
  <c r="D66" i="9" s="1"/>
  <c r="F52" i="9"/>
  <c r="F51" i="9"/>
  <c r="H50" i="9"/>
  <c r="G50" i="9"/>
  <c r="H49" i="9"/>
  <c r="G49" i="9"/>
  <c r="E49" i="9"/>
  <c r="E48" i="9" s="1"/>
  <c r="E47" i="9" s="1"/>
  <c r="D49" i="9"/>
  <c r="C49" i="9"/>
  <c r="H46" i="9"/>
  <c r="G46" i="9"/>
  <c r="H45" i="9"/>
  <c r="G45" i="9"/>
  <c r="E45" i="9"/>
  <c r="D45" i="9"/>
  <c r="C45" i="9"/>
  <c r="F45" i="9" s="1"/>
  <c r="G44" i="9"/>
  <c r="E44" i="9"/>
  <c r="D44" i="9"/>
  <c r="C44" i="9"/>
  <c r="F44" i="9" s="1"/>
  <c r="I43" i="9"/>
  <c r="I42" i="9"/>
  <c r="H42" i="9"/>
  <c r="G42" i="9"/>
  <c r="J38" i="9"/>
  <c r="K38" i="9" s="1"/>
  <c r="F38" i="9"/>
  <c r="I39" i="9"/>
  <c r="H39" i="9"/>
  <c r="G39" i="9"/>
  <c r="E39" i="9"/>
  <c r="D39" i="9"/>
  <c r="K32" i="9"/>
  <c r="J29" i="9"/>
  <c r="K29" i="9" s="1"/>
  <c r="F29" i="9"/>
  <c r="J28" i="9"/>
  <c r="K28" i="9" s="1"/>
  <c r="C27" i="9"/>
  <c r="E50" i="9" s="1"/>
  <c r="I26" i="9"/>
  <c r="C26" i="9"/>
  <c r="H26" i="9" s="1"/>
  <c r="C23" i="9"/>
  <c r="E46" i="9" s="1"/>
  <c r="I22" i="9"/>
  <c r="C22" i="9"/>
  <c r="H22" i="9" s="1"/>
  <c r="I21" i="9"/>
  <c r="H21" i="9"/>
  <c r="G21" i="9"/>
  <c r="J21" i="9" s="1"/>
  <c r="E21" i="9"/>
  <c r="C21" i="9"/>
  <c r="D21" i="9" s="1"/>
  <c r="F21" i="9" s="1"/>
  <c r="C20" i="9"/>
  <c r="E19" i="9"/>
  <c r="E42" i="9" s="1"/>
  <c r="D19" i="9"/>
  <c r="C19" i="9"/>
  <c r="F19" i="9" s="1"/>
  <c r="E16" i="9"/>
  <c r="D16" i="9"/>
  <c r="C16" i="9"/>
  <c r="K15" i="9"/>
  <c r="J15" i="9"/>
  <c r="F15" i="9"/>
  <c r="I16" i="9"/>
  <c r="H16" i="9"/>
  <c r="G16" i="9"/>
  <c r="J16" i="9" s="1"/>
  <c r="J20" i="10" l="1"/>
  <c r="G25" i="10"/>
  <c r="J26" i="10"/>
  <c r="K42" i="10"/>
  <c r="D58" i="10" s="1"/>
  <c r="C53" i="10"/>
  <c r="F41" i="10"/>
  <c r="F53" i="10" s="1"/>
  <c r="C30" i="10"/>
  <c r="J46" i="10"/>
  <c r="J39" i="10"/>
  <c r="H18" i="10"/>
  <c r="H30" i="10" s="1"/>
  <c r="K45" i="10"/>
  <c r="D61" i="10" s="1"/>
  <c r="G53" i="10"/>
  <c r="J41" i="10"/>
  <c r="G18" i="10"/>
  <c r="K21" i="10"/>
  <c r="I18" i="10"/>
  <c r="I30" i="10" s="1"/>
  <c r="K44" i="10"/>
  <c r="D60" i="10" s="1"/>
  <c r="D18" i="10"/>
  <c r="D30" i="10" s="1"/>
  <c r="F46" i="10"/>
  <c r="K23" i="10"/>
  <c r="J19" i="10"/>
  <c r="K19" i="10" s="1"/>
  <c r="H41" i="9"/>
  <c r="H53" i="9" s="1"/>
  <c r="J46" i="9"/>
  <c r="J50" i="9"/>
  <c r="K51" i="9"/>
  <c r="F16" i="9"/>
  <c r="H43" i="9"/>
  <c r="I20" i="9"/>
  <c r="F20" i="9"/>
  <c r="G43" i="9"/>
  <c r="J43" i="9" s="1"/>
  <c r="G20" i="9"/>
  <c r="E43" i="9"/>
  <c r="E41" i="9" s="1"/>
  <c r="E53" i="9" s="1"/>
  <c r="D43" i="9"/>
  <c r="C43" i="9"/>
  <c r="F43" i="9" s="1"/>
  <c r="H20" i="9"/>
  <c r="D20" i="9"/>
  <c r="E20" i="9"/>
  <c r="F49" i="9"/>
  <c r="J39" i="9"/>
  <c r="J44" i="9"/>
  <c r="K44" i="9" s="1"/>
  <c r="D60" i="9" s="1"/>
  <c r="K21" i="9"/>
  <c r="I25" i="9"/>
  <c r="I24" i="9" s="1"/>
  <c r="H48" i="9"/>
  <c r="H47" i="9" s="1"/>
  <c r="G41" i="9"/>
  <c r="J42" i="9"/>
  <c r="D27" i="9"/>
  <c r="F27" i="9" s="1"/>
  <c r="C18" i="9"/>
  <c r="C39" i="9"/>
  <c r="I45" i="9"/>
  <c r="J45" i="9" s="1"/>
  <c r="K45" i="9" s="1"/>
  <c r="D61" i="9" s="1"/>
  <c r="G19" i="9"/>
  <c r="D22" i="9"/>
  <c r="D26" i="9"/>
  <c r="G27" i="9"/>
  <c r="G48" i="9"/>
  <c r="H19" i="9"/>
  <c r="E22" i="9"/>
  <c r="E18" i="9" s="1"/>
  <c r="E30" i="9" s="1"/>
  <c r="H23" i="9"/>
  <c r="E26" i="9"/>
  <c r="E25" i="9" s="1"/>
  <c r="E24" i="9" s="1"/>
  <c r="H27" i="9"/>
  <c r="H25" i="9" s="1"/>
  <c r="H24" i="9" s="1"/>
  <c r="H44" i="9"/>
  <c r="I46" i="9"/>
  <c r="I50" i="9"/>
  <c r="I49" i="9"/>
  <c r="I48" i="9" s="1"/>
  <c r="I47" i="9" s="1"/>
  <c r="G23" i="9"/>
  <c r="I19" i="9"/>
  <c r="F22" i="9"/>
  <c r="I23" i="9"/>
  <c r="C25" i="9"/>
  <c r="I27" i="9"/>
  <c r="C42" i="9"/>
  <c r="I44" i="9"/>
  <c r="I41" i="9" s="1"/>
  <c r="I53" i="9" s="1"/>
  <c r="C46" i="9"/>
  <c r="C50" i="9"/>
  <c r="G22" i="9"/>
  <c r="J22" i="9" s="1"/>
  <c r="G26" i="9"/>
  <c r="D42" i="9"/>
  <c r="D46" i="9"/>
  <c r="D50" i="9"/>
  <c r="D48" i="9" s="1"/>
  <c r="D47" i="9" s="1"/>
  <c r="D23" i="9"/>
  <c r="D18" i="9" s="1"/>
  <c r="E23" i="9"/>
  <c r="E27" i="9"/>
  <c r="C32" i="10" l="1"/>
  <c r="D32" i="10" s="1"/>
  <c r="E32" i="10" s="1"/>
  <c r="J18" i="10"/>
  <c r="K26" i="10"/>
  <c r="K49" i="10"/>
  <c r="D63" i="10" s="1"/>
  <c r="G24" i="10"/>
  <c r="J24" i="10" s="1"/>
  <c r="J25" i="10"/>
  <c r="K20" i="10"/>
  <c r="K43" i="10"/>
  <c r="K39" i="10"/>
  <c r="J53" i="10"/>
  <c r="K46" i="10"/>
  <c r="D62" i="10" s="1"/>
  <c r="F18" i="10"/>
  <c r="F30" i="10" s="1"/>
  <c r="D41" i="9"/>
  <c r="D53" i="9" s="1"/>
  <c r="J26" i="9"/>
  <c r="K26" i="9" s="1"/>
  <c r="G25" i="9"/>
  <c r="K22" i="9"/>
  <c r="F39" i="9"/>
  <c r="I18" i="9"/>
  <c r="I30" i="9" s="1"/>
  <c r="J23" i="9"/>
  <c r="J48" i="9"/>
  <c r="G47" i="9"/>
  <c r="J47" i="9" s="1"/>
  <c r="F46" i="9"/>
  <c r="K46" i="9" s="1"/>
  <c r="D62" i="9" s="1"/>
  <c r="F23" i="9"/>
  <c r="C24" i="9"/>
  <c r="F18" i="9"/>
  <c r="H18" i="9"/>
  <c r="H30" i="9" s="1"/>
  <c r="K42" i="9"/>
  <c r="D58" i="9" s="1"/>
  <c r="J20" i="9"/>
  <c r="K20" i="9" s="1"/>
  <c r="F50" i="9"/>
  <c r="K50" i="9" s="1"/>
  <c r="D64" i="9" s="1"/>
  <c r="G53" i="9"/>
  <c r="J41" i="9"/>
  <c r="K43" i="9"/>
  <c r="J27" i="9"/>
  <c r="K27" i="9" s="1"/>
  <c r="C48" i="9"/>
  <c r="D25" i="9"/>
  <c r="D24" i="9" s="1"/>
  <c r="D30" i="9" s="1"/>
  <c r="F42" i="9"/>
  <c r="C41" i="9"/>
  <c r="J19" i="9"/>
  <c r="K19" i="9" s="1"/>
  <c r="G18" i="9"/>
  <c r="F26" i="9"/>
  <c r="J49" i="9"/>
  <c r="K49" i="9" s="1"/>
  <c r="D63" i="9" s="1"/>
  <c r="K16" i="9"/>
  <c r="K25" i="10" l="1"/>
  <c r="K48" i="10"/>
  <c r="G30" i="10"/>
  <c r="K24" i="10"/>
  <c r="K47" i="10"/>
  <c r="J30" i="10"/>
  <c r="K18" i="10"/>
  <c r="K41" i="10"/>
  <c r="G32" i="10"/>
  <c r="H32" i="10" s="1"/>
  <c r="I32" i="10" s="1"/>
  <c r="C55" i="10" s="1"/>
  <c r="D55" i="10" s="1"/>
  <c r="E55" i="10" s="1"/>
  <c r="G55" i="10" s="1"/>
  <c r="H55" i="10" s="1"/>
  <c r="I55" i="10" s="1"/>
  <c r="G17" i="10"/>
  <c r="C40" i="10"/>
  <c r="G40" i="10"/>
  <c r="E17" i="10"/>
  <c r="K40" i="10"/>
  <c r="D17" i="10"/>
  <c r="F40" i="10"/>
  <c r="C17" i="10"/>
  <c r="D40" i="10"/>
  <c r="I40" i="10"/>
  <c r="J17" i="10"/>
  <c r="E40" i="10"/>
  <c r="F17" i="10"/>
  <c r="I17" i="10"/>
  <c r="H17" i="10"/>
  <c r="H40" i="10"/>
  <c r="K17" i="10"/>
  <c r="J40" i="10"/>
  <c r="F48" i="9"/>
  <c r="C47" i="9"/>
  <c r="F47" i="9" s="1"/>
  <c r="J53" i="9"/>
  <c r="K48" i="9"/>
  <c r="F41" i="9"/>
  <c r="F53" i="9" s="1"/>
  <c r="C53" i="9"/>
  <c r="F24" i="9"/>
  <c r="F30" i="9" s="1"/>
  <c r="F25" i="9"/>
  <c r="J25" i="9"/>
  <c r="K25" i="9" s="1"/>
  <c r="G24" i="9"/>
  <c r="J24" i="9" s="1"/>
  <c r="K24" i="9" s="1"/>
  <c r="G30" i="9"/>
  <c r="J18" i="9"/>
  <c r="K47" i="9"/>
  <c r="C30" i="9"/>
  <c r="K23" i="9"/>
  <c r="K30" i="10" l="1"/>
  <c r="K53" i="10"/>
  <c r="K40" i="9"/>
  <c r="H17" i="9"/>
  <c r="G17" i="9"/>
  <c r="I40" i="9"/>
  <c r="D17" i="9"/>
  <c r="C17" i="9"/>
  <c r="D40" i="9"/>
  <c r="G40" i="9"/>
  <c r="I17" i="9"/>
  <c r="E17" i="9"/>
  <c r="H40" i="9"/>
  <c r="E40" i="9"/>
  <c r="J17" i="9"/>
  <c r="F17" i="9"/>
  <c r="C40" i="9"/>
  <c r="J40" i="9"/>
  <c r="K53" i="9"/>
  <c r="K41" i="9"/>
  <c r="C32" i="9"/>
  <c r="D32" i="9" s="1"/>
  <c r="E32" i="9" s="1"/>
  <c r="G32" i="9" s="1"/>
  <c r="H32" i="9" s="1"/>
  <c r="I32" i="9" s="1"/>
  <c r="C55" i="9" s="1"/>
  <c r="D55" i="9" s="1"/>
  <c r="E55" i="9" s="1"/>
  <c r="G55" i="9" s="1"/>
  <c r="H55" i="9" s="1"/>
  <c r="I55" i="9" s="1"/>
  <c r="G31" i="9"/>
  <c r="K18" i="9"/>
  <c r="J30" i="9"/>
  <c r="F40" i="9"/>
  <c r="K31" i="10" l="1"/>
  <c r="K54" i="10"/>
  <c r="K57" i="10"/>
  <c r="D54" i="10"/>
  <c r="E31" i="10"/>
  <c r="I54" i="10"/>
  <c r="E54" i="10"/>
  <c r="H54" i="10"/>
  <c r="F54" i="10"/>
  <c r="H31" i="10"/>
  <c r="C31" i="10"/>
  <c r="D31" i="10"/>
  <c r="I31" i="10"/>
  <c r="G54" i="10"/>
  <c r="C54" i="10"/>
  <c r="J54" i="10"/>
  <c r="F31" i="10"/>
  <c r="J31" i="10"/>
  <c r="G31" i="10"/>
  <c r="K54" i="9"/>
  <c r="I54" i="9"/>
  <c r="E31" i="9"/>
  <c r="H54" i="9"/>
  <c r="E54" i="9"/>
  <c r="K57" i="9"/>
  <c r="D31" i="9"/>
  <c r="D54" i="9"/>
  <c r="H31" i="9"/>
  <c r="I31" i="9"/>
  <c r="G54" i="9"/>
  <c r="J31" i="9"/>
  <c r="K30" i="9"/>
  <c r="K31" i="9" s="1"/>
  <c r="J54" i="9"/>
  <c r="F54" i="9"/>
  <c r="C54" i="9"/>
  <c r="F31" i="9"/>
</calcChain>
</file>

<file path=xl/comments1.xml><?xml version="1.0" encoding="utf-8"?>
<comments xmlns="http://schemas.openxmlformats.org/spreadsheetml/2006/main">
  <authors>
    <author/>
  </authors>
  <commentList>
    <comment ref="B11" authorId="0" shapeId="0">
      <text>
        <r>
          <rPr>
            <sz val="10"/>
            <rFont val="Arial"/>
            <charset val="1"/>
          </rPr>
          <t>Preencher com o valor total da Receita</t>
        </r>
      </text>
    </comment>
    <comment ref="B57" authorId="0" shapeId="0">
      <text>
        <r>
          <rPr>
            <sz val="10"/>
            <rFont val="Arial"/>
            <charset val="1"/>
          </rPr>
          <t>Preencher com os dados das despesas individuais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11" authorId="0" shapeId="0">
      <text>
        <r>
          <rPr>
            <sz val="10"/>
            <rFont val="Arial"/>
            <family val="2"/>
          </rPr>
          <t>Preencher com o valor total da Receita</t>
        </r>
      </text>
    </comment>
    <comment ref="B57" authorId="0" shapeId="0">
      <text>
        <r>
          <rPr>
            <sz val="10"/>
            <rFont val="Arial"/>
            <family val="2"/>
          </rPr>
          <t>Preencher com os dados das despesas individuais</t>
        </r>
      </text>
    </comment>
  </commentList>
</comments>
</file>

<file path=xl/sharedStrings.xml><?xml version="1.0" encoding="utf-8"?>
<sst xmlns="http://schemas.openxmlformats.org/spreadsheetml/2006/main" count="149" uniqueCount="43">
  <si>
    <t xml:space="preserve"> </t>
  </si>
  <si>
    <t>Conselho Regional de Enfermagem de Pernambuco</t>
  </si>
  <si>
    <t>CONTRAPARTIDA FINANCEIRA</t>
  </si>
  <si>
    <t>MESES</t>
  </si>
  <si>
    <t>Grupos/Elementos de Despesa</t>
  </si>
  <si>
    <t>JAN</t>
  </si>
  <si>
    <t>FEV</t>
  </si>
  <si>
    <t>MAR</t>
  </si>
  <si>
    <t>SUBTOTAL 1</t>
  </si>
  <si>
    <t>ABR</t>
  </si>
  <si>
    <t>MAI</t>
  </si>
  <si>
    <t>JUN</t>
  </si>
  <si>
    <t>SUBTOTAL 2</t>
  </si>
  <si>
    <t>TOTAL SEMESTRE</t>
  </si>
  <si>
    <t>Receitas Correntes</t>
  </si>
  <si>
    <t>Receitas de Capital</t>
  </si>
  <si>
    <t>Total das Receitas</t>
  </si>
  <si>
    <t>Percentual Mensal/Trimestral</t>
  </si>
  <si>
    <t>DESPESAS CORRENTES</t>
  </si>
  <si>
    <t>Pessoal Civil</t>
  </si>
  <si>
    <t>Juros e Encargos da Dívida</t>
  </si>
  <si>
    <t>Material de Consumo</t>
  </si>
  <si>
    <t>Passagens e Despesas com Locomoção</t>
  </si>
  <si>
    <t>Outras Despesas Correntes</t>
  </si>
  <si>
    <t>DESPESAS DE CAPITAL</t>
  </si>
  <si>
    <t>Investimentos</t>
  </si>
  <si>
    <t>Obras e Instalações</t>
  </si>
  <si>
    <t>Equipamento e Material Permanente</t>
  </si>
  <si>
    <t>Inversões Financeiras</t>
  </si>
  <si>
    <t>RESERVA DE CONTINGÊNCIA</t>
  </si>
  <si>
    <t>Total das Despesas</t>
  </si>
  <si>
    <t>Superávit/Déficit</t>
  </si>
  <si>
    <t>JUL</t>
  </si>
  <si>
    <t>AGO</t>
  </si>
  <si>
    <t>SET</t>
  </si>
  <si>
    <t>SUBTOTAL 3</t>
  </si>
  <si>
    <t>OUT</t>
  </si>
  <si>
    <t>NOV</t>
  </si>
  <si>
    <t>DEZ</t>
  </si>
  <si>
    <t>SUBTOTAL 4</t>
  </si>
  <si>
    <t>TOTAL ANUAL</t>
  </si>
  <si>
    <t>Exercício: 2023</t>
  </si>
  <si>
    <t>APÓS REFORMULAÇÃO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</si>
</sst>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\-??_);_(@_)"/>
  </numFmts>
  <fonts count="23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4"/>
      <name val="Times New Roman"/>
      <family val="1"/>
      <charset val="1"/>
    </font>
    <font>
      <sz val="14"/>
      <color rgb="FF333333"/>
      <name val="Times New Roman"/>
      <family val="1"/>
      <charset val="1"/>
    </font>
    <font>
      <b/>
      <sz val="14"/>
      <name val="Times New Roman"/>
      <family val="1"/>
      <charset val="1"/>
    </font>
    <font>
      <b/>
      <u/>
      <sz val="14"/>
      <name val="Times New Roman"/>
      <family val="1"/>
      <charset val="1"/>
    </font>
    <font>
      <b/>
      <sz val="14"/>
      <color rgb="FF000080"/>
      <name val="Times New Roman"/>
      <family val="1"/>
      <charset val="1"/>
    </font>
    <font>
      <b/>
      <sz val="14"/>
      <color rgb="FFFF0000"/>
      <name val="Times New Roman"/>
      <family val="1"/>
      <charset val="1"/>
    </font>
    <font>
      <sz val="14"/>
      <color rgb="FF3366FF"/>
      <name val="Times New Roman"/>
      <family val="1"/>
      <charset val="1"/>
    </font>
    <font>
      <sz val="14"/>
      <color rgb="FF0000FF"/>
      <name val="Times New Roman"/>
      <family val="1"/>
      <charset val="1"/>
    </font>
    <font>
      <b/>
      <sz val="14"/>
      <color rgb="FF0000FF"/>
      <name val="Times New Roman"/>
      <family val="1"/>
      <charset val="1"/>
    </font>
    <font>
      <sz val="14"/>
      <color rgb="FFFF0000"/>
      <name val="Times New Roman"/>
      <family val="1"/>
      <charset val="1"/>
    </font>
    <font>
      <sz val="10"/>
      <name val="Arial"/>
      <charset val="1"/>
    </font>
    <font>
      <b/>
      <sz val="14"/>
      <color theme="0"/>
      <name val="Times New Roman"/>
      <family val="1"/>
      <charset val="1"/>
    </font>
    <font>
      <sz val="14"/>
      <color theme="0"/>
      <name val="Times New Roman"/>
      <family val="1"/>
      <charset val="1"/>
    </font>
    <font>
      <sz val="12"/>
      <color theme="0"/>
      <name val="Arial"/>
      <family val="2"/>
    </font>
    <font>
      <sz val="12"/>
      <color theme="0"/>
      <name val="Arial"/>
      <family val="2"/>
      <charset val="1"/>
    </font>
    <font>
      <sz val="12"/>
      <color theme="0"/>
      <name val="Times New Roman"/>
      <family val="1"/>
      <charset val="1"/>
    </font>
    <font>
      <sz val="10"/>
      <color theme="0"/>
      <name val="Arial"/>
      <family val="2"/>
    </font>
    <font>
      <b/>
      <sz val="14"/>
      <color rgb="FF0000FF"/>
      <name val="Times New Roman"/>
      <family val="1"/>
    </font>
    <font>
      <sz val="10"/>
      <name val="Arial"/>
      <family val="2"/>
    </font>
    <font>
      <b/>
      <sz val="9"/>
      <color theme="0"/>
      <name val="Tahoma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164" fontId="12" fillId="0" borderId="0" applyBorder="0" applyProtection="0"/>
    <xf numFmtId="9" fontId="12" fillId="0" borderId="0" applyBorder="0" applyProtection="0"/>
    <xf numFmtId="0" fontId="1" fillId="0" borderId="0"/>
    <xf numFmtId="0" fontId="1" fillId="0" borderId="0"/>
    <xf numFmtId="0" fontId="20" fillId="0" borderId="0"/>
    <xf numFmtId="164" fontId="20" fillId="0" borderId="0" applyBorder="0" applyProtection="0"/>
    <xf numFmtId="9" fontId="20" fillId="0" borderId="0" applyBorder="0" applyProtection="0"/>
  </cellStyleXfs>
  <cellXfs count="130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1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 applyProtection="1">
      <alignment vertical="center" wrapText="1"/>
      <protection locked="0"/>
    </xf>
    <xf numFmtId="49" fontId="2" fillId="0" borderId="0" xfId="0" applyNumberFormat="1" applyFont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/>
    <xf numFmtId="9" fontId="7" fillId="2" borderId="0" xfId="0" applyNumberFormat="1" applyFont="1" applyFill="1" applyAlignment="1">
      <alignment horizontal="center"/>
    </xf>
    <xf numFmtId="9" fontId="7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4" fontId="4" fillId="2" borderId="6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4" fontId="4" fillId="2" borderId="8" xfId="0" applyNumberFormat="1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10" fontId="9" fillId="2" borderId="10" xfId="0" applyNumberFormat="1" applyFont="1" applyFill="1" applyBorder="1"/>
    <xf numFmtId="10" fontId="10" fillId="2" borderId="6" xfId="2" applyNumberFormat="1" applyFont="1" applyFill="1" applyBorder="1" applyAlignment="1" applyProtection="1">
      <alignment horizontal="right" vertical="center"/>
    </xf>
    <xf numFmtId="0" fontId="9" fillId="0" borderId="0" xfId="0" applyFont="1"/>
    <xf numFmtId="0" fontId="2" fillId="2" borderId="3" xfId="0" applyFont="1" applyFill="1" applyBorder="1" applyAlignment="1">
      <alignment vertical="center"/>
    </xf>
    <xf numFmtId="4" fontId="4" fillId="2" borderId="4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10" fontId="10" fillId="2" borderId="11" xfId="2" applyNumberFormat="1" applyFont="1" applyFill="1" applyBorder="1" applyAlignment="1" applyProtection="1">
      <alignment horizontal="right" vertical="center"/>
    </xf>
    <xf numFmtId="0" fontId="4" fillId="2" borderId="12" xfId="0" applyFont="1" applyFill="1" applyBorder="1" applyAlignment="1">
      <alignment horizontal="left" vertical="center"/>
    </xf>
    <xf numFmtId="4" fontId="4" fillId="2" borderId="13" xfId="0" applyNumberFormat="1" applyFont="1" applyFill="1" applyBorder="1" applyAlignment="1">
      <alignment horizontal="right" vertical="center"/>
    </xf>
    <xf numFmtId="4" fontId="4" fillId="2" borderId="14" xfId="0" applyNumberFormat="1" applyFont="1" applyFill="1" applyBorder="1" applyAlignment="1">
      <alignment horizontal="right" vertical="center"/>
    </xf>
    <xf numFmtId="0" fontId="9" fillId="2" borderId="0" xfId="0" applyFont="1" applyFill="1"/>
    <xf numFmtId="10" fontId="9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15" xfId="0" applyFont="1" applyFill="1" applyBorder="1"/>
    <xf numFmtId="0" fontId="11" fillId="2" borderId="0" xfId="0" applyFont="1" applyFill="1"/>
    <xf numFmtId="0" fontId="11" fillId="0" borderId="0" xfId="0" applyFont="1"/>
    <xf numFmtId="4" fontId="2" fillId="0" borderId="0" xfId="0" applyNumberFormat="1" applyFont="1"/>
    <xf numFmtId="164" fontId="12" fillId="0" borderId="0" xfId="1"/>
    <xf numFmtId="0" fontId="13" fillId="2" borderId="0" xfId="0" applyFont="1" applyFill="1"/>
    <xf numFmtId="0" fontId="14" fillId="2" borderId="0" xfId="0" applyFont="1" applyFill="1" applyAlignment="1">
      <alignment horizontal="left" vertical="center"/>
    </xf>
    <xf numFmtId="164" fontId="15" fillId="0" borderId="0" xfId="1" applyFont="1"/>
    <xf numFmtId="0" fontId="14" fillId="0" borderId="0" xfId="0" applyFont="1"/>
    <xf numFmtId="164" fontId="16" fillId="0" borderId="0" xfId="1" applyFont="1" applyBorder="1" applyAlignment="1" applyProtection="1">
      <alignment wrapText="1"/>
    </xf>
    <xf numFmtId="164" fontId="17" fillId="2" borderId="0" xfId="1" applyFont="1" applyFill="1" applyBorder="1" applyProtection="1"/>
    <xf numFmtId="0" fontId="14" fillId="2" borderId="0" xfId="0" applyFont="1" applyFill="1" applyAlignment="1">
      <alignment vertical="center"/>
    </xf>
    <xf numFmtId="0" fontId="14" fillId="2" borderId="0" xfId="0" applyFont="1" applyFill="1"/>
    <xf numFmtId="164" fontId="14" fillId="2" borderId="0" xfId="1" applyFont="1" applyFill="1" applyBorder="1" applyProtection="1"/>
    <xf numFmtId="164" fontId="14" fillId="2" borderId="0" xfId="0" applyNumberFormat="1" applyFont="1" applyFill="1"/>
    <xf numFmtId="4" fontId="18" fillId="0" borderId="0" xfId="0" applyNumberFormat="1" applyFont="1"/>
    <xf numFmtId="4" fontId="14" fillId="0" borderId="0" xfId="0" applyNumberFormat="1" applyFont="1"/>
    <xf numFmtId="10" fontId="19" fillId="2" borderId="10" xfId="0" applyNumberFormat="1" applyFont="1" applyFill="1" applyBorder="1"/>
    <xf numFmtId="10" fontId="19" fillId="2" borderId="6" xfId="2" applyNumberFormat="1" applyFont="1" applyFill="1" applyBorder="1" applyAlignment="1" applyProtection="1">
      <alignment horizontal="right" vertical="center"/>
    </xf>
    <xf numFmtId="10" fontId="19" fillId="2" borderId="11" xfId="2" applyNumberFormat="1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20" fillId="0" borderId="0" xfId="5"/>
    <xf numFmtId="0" fontId="2" fillId="0" borderId="0" xfId="5" applyFont="1"/>
    <xf numFmtId="0" fontId="3" fillId="0" borderId="0" xfId="5" applyFont="1"/>
    <xf numFmtId="0" fontId="11" fillId="0" borderId="0" xfId="5" applyFont="1"/>
    <xf numFmtId="0" fontId="14" fillId="0" borderId="0" xfId="5" applyFont="1"/>
    <xf numFmtId="4" fontId="14" fillId="0" borderId="0" xfId="5" applyNumberFormat="1" applyFont="1"/>
    <xf numFmtId="4" fontId="21" fillId="0" borderId="0" xfId="5" applyNumberFormat="1" applyFont="1"/>
    <xf numFmtId="0" fontId="14" fillId="2" borderId="0" xfId="5" applyFont="1" applyFill="1"/>
    <xf numFmtId="164" fontId="14" fillId="2" borderId="0" xfId="5" applyNumberFormat="1" applyFont="1" applyFill="1"/>
    <xf numFmtId="164" fontId="14" fillId="2" borderId="0" xfId="6" applyFont="1" applyFill="1" applyBorder="1" applyProtection="1"/>
    <xf numFmtId="164" fontId="15" fillId="0" borderId="0" xfId="6" applyFont="1"/>
    <xf numFmtId="0" fontId="14" fillId="2" borderId="0" xfId="5" applyFont="1" applyFill="1" applyAlignment="1">
      <alignment vertical="center"/>
    </xf>
    <xf numFmtId="0" fontId="14" fillId="2" borderId="0" xfId="5" applyFont="1" applyFill="1" applyAlignment="1">
      <alignment horizontal="left" vertical="center"/>
    </xf>
    <xf numFmtId="164" fontId="17" fillId="2" borderId="0" xfId="6" applyFont="1" applyFill="1" applyBorder="1" applyProtection="1"/>
    <xf numFmtId="4" fontId="2" fillId="0" borderId="0" xfId="5" applyNumberFormat="1" applyFont="1"/>
    <xf numFmtId="164" fontId="16" fillId="0" borderId="0" xfId="6" applyFont="1" applyBorder="1" applyAlignment="1" applyProtection="1">
      <alignment wrapText="1"/>
    </xf>
    <xf numFmtId="164" fontId="22" fillId="0" borderId="0" xfId="6" applyFont="1"/>
    <xf numFmtId="0" fontId="2" fillId="2" borderId="0" xfId="5" applyFont="1" applyFill="1"/>
    <xf numFmtId="0" fontId="11" fillId="2" borderId="0" xfId="5" applyFont="1" applyFill="1"/>
    <xf numFmtId="4" fontId="4" fillId="2" borderId="14" xfId="5" applyNumberFormat="1" applyFont="1" applyFill="1" applyBorder="1" applyAlignment="1">
      <alignment horizontal="right" vertical="center"/>
    </xf>
    <xf numFmtId="4" fontId="4" fillId="2" borderId="13" xfId="5" applyNumberFormat="1" applyFont="1" applyFill="1" applyBorder="1" applyAlignment="1">
      <alignment horizontal="right" vertical="center"/>
    </xf>
    <xf numFmtId="0" fontId="4" fillId="2" borderId="12" xfId="5" applyFont="1" applyFill="1" applyBorder="1" applyAlignment="1">
      <alignment horizontal="left" vertical="center"/>
    </xf>
    <xf numFmtId="10" fontId="19" fillId="2" borderId="11" xfId="7" applyNumberFormat="1" applyFont="1" applyFill="1" applyBorder="1" applyAlignment="1" applyProtection="1">
      <alignment horizontal="right" vertical="center"/>
    </xf>
    <xf numFmtId="10" fontId="19" fillId="2" borderId="10" xfId="5" applyNumberFormat="1" applyFont="1" applyFill="1" applyBorder="1"/>
    <xf numFmtId="10" fontId="9" fillId="2" borderId="10" xfId="5" applyNumberFormat="1" applyFont="1" applyFill="1" applyBorder="1"/>
    <xf numFmtId="0" fontId="9" fillId="2" borderId="9" xfId="5" applyFont="1" applyFill="1" applyBorder="1" applyAlignment="1">
      <alignment horizontal="right" vertical="center"/>
    </xf>
    <xf numFmtId="4" fontId="4" fillId="2" borderId="6" xfId="5" applyNumberFormat="1" applyFont="1" applyFill="1" applyBorder="1" applyAlignment="1">
      <alignment horizontal="right" vertical="center"/>
    </xf>
    <xf numFmtId="4" fontId="4" fillId="2" borderId="8" xfId="5" applyNumberFormat="1" applyFont="1" applyFill="1" applyBorder="1" applyAlignment="1">
      <alignment horizontal="right" vertical="center"/>
    </xf>
    <xf numFmtId="0" fontId="4" fillId="2" borderId="3" xfId="5" applyFont="1" applyFill="1" applyBorder="1" applyAlignment="1">
      <alignment horizontal="left" vertical="center"/>
    </xf>
    <xf numFmtId="4" fontId="4" fillId="2" borderId="4" xfId="5" applyNumberFormat="1" applyFont="1" applyFill="1" applyBorder="1" applyAlignment="1">
      <alignment horizontal="right" vertical="center"/>
    </xf>
    <xf numFmtId="0" fontId="2" fillId="2" borderId="3" xfId="5" applyFont="1" applyFill="1" applyBorder="1" applyAlignment="1">
      <alignment vertical="center"/>
    </xf>
    <xf numFmtId="4" fontId="2" fillId="2" borderId="4" xfId="5" applyNumberFormat="1" applyFont="1" applyFill="1" applyBorder="1" applyAlignment="1">
      <alignment horizontal="right" vertical="center"/>
    </xf>
    <xf numFmtId="0" fontId="2" fillId="2" borderId="3" xfId="5" applyFont="1" applyFill="1" applyBorder="1" applyAlignment="1">
      <alignment horizontal="left" vertical="center"/>
    </xf>
    <xf numFmtId="4" fontId="2" fillId="2" borderId="6" xfId="5" applyNumberFormat="1" applyFont="1" applyFill="1" applyBorder="1" applyAlignment="1">
      <alignment horizontal="right" vertical="center"/>
    </xf>
    <xf numFmtId="4" fontId="4" fillId="2" borderId="7" xfId="5" applyNumberFormat="1" applyFont="1" applyFill="1" applyBorder="1" applyAlignment="1">
      <alignment horizontal="right" vertical="center"/>
    </xf>
    <xf numFmtId="0" fontId="2" fillId="2" borderId="15" xfId="5" applyFont="1" applyFill="1" applyBorder="1"/>
    <xf numFmtId="10" fontId="19" fillId="2" borderId="6" xfId="7" applyNumberFormat="1" applyFont="1" applyFill="1" applyBorder="1" applyAlignment="1" applyProtection="1">
      <alignment horizontal="right" vertical="center"/>
    </xf>
    <xf numFmtId="0" fontId="2" fillId="0" borderId="0" xfId="5" applyFont="1" applyAlignment="1">
      <alignment horizontal="center"/>
    </xf>
    <xf numFmtId="0" fontId="4" fillId="2" borderId="6" xfId="5" applyFont="1" applyFill="1" applyBorder="1" applyAlignment="1">
      <alignment horizontal="center" vertical="center"/>
    </xf>
    <xf numFmtId="0" fontId="4" fillId="2" borderId="5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3" fillId="2" borderId="0" xfId="5" applyFont="1" applyFill="1"/>
    <xf numFmtId="0" fontId="4" fillId="2" borderId="0" xfId="5" applyFont="1" applyFill="1" applyAlignment="1">
      <alignment horizontal="left"/>
    </xf>
    <xf numFmtId="0" fontId="4" fillId="2" borderId="0" xfId="5" applyFont="1" applyFill="1" applyAlignment="1">
      <alignment horizontal="center"/>
    </xf>
    <xf numFmtId="0" fontId="9" fillId="0" borderId="0" xfId="5" applyFont="1"/>
    <xf numFmtId="0" fontId="9" fillId="2" borderId="0" xfId="5" applyFont="1" applyFill="1"/>
    <xf numFmtId="10" fontId="9" fillId="2" borderId="0" xfId="5" applyNumberFormat="1" applyFont="1" applyFill="1"/>
    <xf numFmtId="10" fontId="10" fillId="2" borderId="11" xfId="7" applyNumberFormat="1" applyFont="1" applyFill="1" applyBorder="1" applyAlignment="1" applyProtection="1">
      <alignment horizontal="right" vertical="center"/>
    </xf>
    <xf numFmtId="10" fontId="10" fillId="2" borderId="6" xfId="7" applyNumberFormat="1" applyFont="1" applyFill="1" applyBorder="1" applyAlignment="1" applyProtection="1">
      <alignment horizontal="right" vertical="center"/>
    </xf>
    <xf numFmtId="4" fontId="2" fillId="0" borderId="4" xfId="5" applyNumberFormat="1" applyFont="1" applyBorder="1" applyAlignment="1">
      <alignment horizontal="right" vertical="center"/>
    </xf>
    <xf numFmtId="0" fontId="4" fillId="2" borderId="4" xfId="5" applyFont="1" applyFill="1" applyBorder="1" applyAlignment="1">
      <alignment horizontal="center" vertical="center"/>
    </xf>
    <xf numFmtId="0" fontId="8" fillId="2" borderId="0" xfId="5" applyFont="1" applyFill="1" applyAlignment="1">
      <alignment horizontal="right"/>
    </xf>
    <xf numFmtId="9" fontId="7" fillId="0" borderId="0" xfId="5" applyNumberFormat="1" applyFont="1" applyAlignment="1">
      <alignment horizontal="center"/>
    </xf>
    <xf numFmtId="9" fontId="7" fillId="2" borderId="0" xfId="5" applyNumberFormat="1" applyFont="1" applyFill="1" applyAlignment="1">
      <alignment horizontal="center"/>
    </xf>
    <xf numFmtId="4" fontId="13" fillId="2" borderId="0" xfId="5" applyNumberFormat="1" applyFont="1" applyFill="1"/>
    <xf numFmtId="0" fontId="6" fillId="0" borderId="0" xfId="5" applyFont="1"/>
    <xf numFmtId="0" fontId="6" fillId="0" borderId="0" xfId="5" applyFont="1" applyAlignment="1" applyProtection="1">
      <alignment vertical="center" wrapText="1"/>
      <protection locked="0"/>
    </xf>
    <xf numFmtId="49" fontId="2" fillId="0" borderId="0" xfId="5" applyNumberFormat="1" applyFont="1" applyAlignment="1">
      <alignment vertical="center" wrapText="1"/>
    </xf>
    <xf numFmtId="49" fontId="4" fillId="2" borderId="0" xfId="5" applyNumberFormat="1" applyFont="1" applyFill="1" applyAlignment="1" applyProtection="1">
      <alignment vertical="center" wrapText="1"/>
      <protection locked="0"/>
    </xf>
    <xf numFmtId="49" fontId="5" fillId="2" borderId="0" xfId="5" applyNumberFormat="1" applyFont="1" applyFill="1" applyAlignment="1" applyProtection="1">
      <alignment horizontal="center" vertical="center" wrapText="1"/>
      <protection locked="0"/>
    </xf>
    <xf numFmtId="49" fontId="2" fillId="2" borderId="0" xfId="5" applyNumberFormat="1" applyFont="1" applyFill="1" applyAlignment="1">
      <alignment vertical="center"/>
    </xf>
    <xf numFmtId="0" fontId="4" fillId="2" borderId="0" xfId="5" applyFont="1" applyFill="1" applyAlignment="1">
      <alignment horizontal="left" vertical="center"/>
    </xf>
    <xf numFmtId="1" fontId="2" fillId="2" borderId="0" xfId="5" applyNumberFormat="1" applyFont="1" applyFill="1" applyAlignment="1">
      <alignment horizontal="left" vertical="center"/>
    </xf>
  </cellXfs>
  <cellStyles count="8">
    <cellStyle name="Normal" xfId="0" builtinId="0"/>
    <cellStyle name="Normal 2" xfId="5"/>
    <cellStyle name="Normal 3" xfId="3"/>
    <cellStyle name="Normal 5" xfId="4"/>
    <cellStyle name="Porcentagem" xfId="2" builtinId="5"/>
    <cellStyle name="Porcentagem 2" xfId="7"/>
    <cellStyle name="Vírgula" xfId="1" builtinId="3"/>
    <cellStyle name="Vírgula 2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552960</xdr:colOff>
      <xdr:row>0</xdr:row>
      <xdr:rowOff>152280</xdr:rowOff>
    </xdr:from>
    <xdr:to>
      <xdr:col>10</xdr:col>
      <xdr:colOff>1380240</xdr:colOff>
      <xdr:row>6</xdr:row>
      <xdr:rowOff>109800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5AD4D133-BD33-4DA5-B471-08B1CA270399}"/>
            </a:ext>
          </a:extLst>
        </xdr:cNvPr>
        <xdr:cNvSpPr/>
      </xdr:nvSpPr>
      <xdr:spPr>
        <a:xfrm>
          <a:off x="752985" y="152280"/>
          <a:ext cx="18029430" cy="100527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44640</xdr:colOff>
      <xdr:row>0</xdr:row>
      <xdr:rowOff>136440</xdr:rowOff>
    </xdr:from>
    <xdr:to>
      <xdr:col>10</xdr:col>
      <xdr:colOff>1379880</xdr:colOff>
      <xdr:row>6</xdr:row>
      <xdr:rowOff>109800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7F8B27E4-13BF-404A-89D5-BEF3C1D3951A}"/>
            </a:ext>
          </a:extLst>
        </xdr:cNvPr>
        <xdr:cNvSpPr/>
      </xdr:nvSpPr>
      <xdr:spPr>
        <a:xfrm>
          <a:off x="244665" y="136440"/>
          <a:ext cx="18537390" cy="102111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ANUAL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4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(Resolução Cofen nº 503/2016, artigo 3º)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1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200025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3068BF5E-394B-4C23-97F6-C64616BDBD4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200025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09EA033-E4B5-4F6F-B27F-CBACE39BDEC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9220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9219" name="AutoShape 3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552960</xdr:colOff>
      <xdr:row>0</xdr:row>
      <xdr:rowOff>152280</xdr:rowOff>
    </xdr:from>
    <xdr:to>
      <xdr:col>10</xdr:col>
      <xdr:colOff>1380240</xdr:colOff>
      <xdr:row>6</xdr:row>
      <xdr:rowOff>109800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5AD4D133-BD33-4DA5-B471-08B1CA270399}"/>
            </a:ext>
          </a:extLst>
        </xdr:cNvPr>
        <xdr:cNvSpPr/>
      </xdr:nvSpPr>
      <xdr:spPr>
        <a:xfrm>
          <a:off x="1162560" y="152280"/>
          <a:ext cx="5542155" cy="92907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44640</xdr:colOff>
      <xdr:row>0</xdr:row>
      <xdr:rowOff>136440</xdr:rowOff>
    </xdr:from>
    <xdr:to>
      <xdr:col>10</xdr:col>
      <xdr:colOff>1379880</xdr:colOff>
      <xdr:row>6</xdr:row>
      <xdr:rowOff>109800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7F8B27E4-13BF-404A-89D5-BEF3C1D3951A}"/>
            </a:ext>
          </a:extLst>
        </xdr:cNvPr>
        <xdr:cNvSpPr/>
      </xdr:nvSpPr>
      <xdr:spPr>
        <a:xfrm>
          <a:off x="654240" y="136440"/>
          <a:ext cx="6050115" cy="944910"/>
        </a:xfrm>
        <a:prstGeom prst="rect">
          <a:avLst/>
        </a:prstGeom>
        <a:solidFill>
          <a:srgbClr val="EAEAEA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0">
          <a:noAutofit/>
        </a:bodyPr>
        <a:lstStyle/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 </a:t>
          </a:r>
          <a:r>
            <a:rPr lang="pt-BR" sz="1400" b="1" strike="noStrike" spc="-1">
              <a:solidFill>
                <a:srgbClr val="000000"/>
              </a:solidFill>
              <a:latin typeface="Arial"/>
            </a:rPr>
            <a:t>CRONOGRAMA ANUAL DE DESEMBOLSO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400"/>
            </a:lnSpc>
          </a:pPr>
          <a:r>
            <a:rPr lang="pt-BR" sz="1400" b="1" strike="noStrike" spc="-1">
              <a:solidFill>
                <a:srgbClr val="000000"/>
              </a:solidFill>
              <a:latin typeface="Arial"/>
            </a:rPr>
            <a:t>(Resolução Cofen nº 503/2016, artigo 3º)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ts val="1301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100"/>
            </a:lnSpc>
          </a:pPr>
          <a:endParaRPr lang="pt-BR" sz="1400" b="0" strike="noStrike" spc="-1">
            <a:latin typeface="Times New Roman"/>
          </a:endParaRPr>
        </a:p>
        <a:p>
          <a:pPr algn="ctr">
            <a:lnSpc>
              <a:spcPts val="1001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200025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3068BF5E-394B-4C23-97F6-C64616BDBD4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048000" cy="647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200025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09EA033-E4B5-4F6F-B27F-CBACE39BDEC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048000" cy="6477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DA858AFD-BF0B-9716-358E-7586613B0C9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048000" cy="6467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5E47DFE0-1088-9DB3-1037-E6F9962A5A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048000" cy="6467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EB3739-303F-9ABA-2C0C-A2A8D3A5B5E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048000" cy="6467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6134B231-F183-3BF3-87B9-893F3CF1393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048000" cy="6467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10" name="AutoShape 4"/>
        <xdr:cNvSpPr>
          <a:spLocks noChangeArrowheads="1"/>
        </xdr:cNvSpPr>
      </xdr:nvSpPr>
      <xdr:spPr bwMode="auto">
        <a:xfrm>
          <a:off x="0" y="0"/>
          <a:ext cx="3048000" cy="6467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1209675</xdr:colOff>
      <xdr:row>39</xdr:row>
      <xdr:rowOff>152400</xdr:rowOff>
    </xdr:to>
    <xdr:sp macro="" textlink="">
      <xdr:nvSpPr>
        <xdr:cNvPr id="11" name="AutoShape 3"/>
        <xdr:cNvSpPr>
          <a:spLocks noChangeArrowheads="1"/>
        </xdr:cNvSpPr>
      </xdr:nvSpPr>
      <xdr:spPr bwMode="auto">
        <a:xfrm>
          <a:off x="0" y="0"/>
          <a:ext cx="3048000" cy="6467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MK82"/>
  <sheetViews>
    <sheetView showGridLines="0" tabSelected="1" topLeftCell="B1" zoomScale="60" zoomScaleNormal="60" workbookViewId="0">
      <selection activeCell="D9" sqref="D9"/>
    </sheetView>
  </sheetViews>
  <sheetFormatPr defaultRowHeight="18.75" x14ac:dyDescent="0.3"/>
  <cols>
    <col min="1" max="1" width="3" style="1" customWidth="1"/>
    <col min="2" max="2" width="76.28515625" style="1" customWidth="1"/>
    <col min="3" max="10" width="22.7109375" style="1" customWidth="1"/>
    <col min="11" max="11" width="27.140625" style="1" customWidth="1"/>
    <col min="12" max="19" width="22.7109375" style="1" customWidth="1"/>
    <col min="20" max="20" width="16.140625" style="1" customWidth="1"/>
    <col min="21" max="21" width="14.5703125" style="1" customWidth="1"/>
    <col min="22" max="22" width="17" style="1" customWidth="1"/>
    <col min="23" max="23" width="14.42578125" style="2" customWidth="1"/>
    <col min="24" max="1025" width="9.140625" style="1" customWidth="1"/>
  </cols>
  <sheetData>
    <row r="1" spans="1:23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</row>
    <row r="2" spans="1:23" ht="12.75" customHeight="1" x14ac:dyDescent="0.3">
      <c r="A2" s="3"/>
      <c r="B2" s="3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V2" s="5"/>
      <c r="W2" s="4"/>
    </row>
    <row r="3" spans="1:23" ht="12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6"/>
      <c r="U3" s="6"/>
      <c r="W3" s="4"/>
    </row>
    <row r="4" spans="1:23" ht="12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6"/>
      <c r="U4" s="6"/>
      <c r="W4" s="4"/>
    </row>
    <row r="5" spans="1:23" ht="12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6"/>
      <c r="U5" s="6"/>
      <c r="W5" s="4"/>
    </row>
    <row r="6" spans="1:23" ht="12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62"/>
      <c r="U6" s="62"/>
      <c r="V6" s="6"/>
      <c r="W6" s="4"/>
    </row>
    <row r="7" spans="1:23" ht="13.1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4"/>
    </row>
    <row r="8" spans="1:23" ht="31.5" customHeight="1" x14ac:dyDescent="0.3">
      <c r="A8" s="3"/>
      <c r="B8" s="7" t="s">
        <v>1</v>
      </c>
      <c r="C8" s="63"/>
      <c r="D8" s="63"/>
      <c r="E8" s="63"/>
      <c r="F8" s="63"/>
      <c r="G8" s="63"/>
      <c r="H8" s="63"/>
      <c r="I8" s="63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8"/>
      <c r="W8" s="4"/>
    </row>
    <row r="9" spans="1:23" ht="19.5" customHeight="1" x14ac:dyDescent="0.3">
      <c r="A9" s="3"/>
      <c r="B9" s="9" t="s">
        <v>41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4"/>
    </row>
    <row r="10" spans="1:23" ht="13.15" customHeight="1" x14ac:dyDescent="0.3">
      <c r="A10" s="3"/>
      <c r="B10" s="43"/>
      <c r="C10" s="43"/>
      <c r="D10" s="4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"/>
    </row>
    <row r="11" spans="1:23" ht="19.5" thickBot="1" x14ac:dyDescent="0.35">
      <c r="A11" s="3"/>
      <c r="B11" s="47">
        <v>25281404.190000001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2"/>
      <c r="V11" s="13"/>
      <c r="W11" s="4"/>
    </row>
    <row r="12" spans="1:23" s="1" customFormat="1" ht="18.75" customHeight="1" thickTop="1" x14ac:dyDescent="0.3">
      <c r="A12" s="3"/>
      <c r="B12" s="14" t="s">
        <v>2</v>
      </c>
      <c r="C12" s="64" t="s">
        <v>3</v>
      </c>
      <c r="D12" s="64"/>
      <c r="E12" s="64"/>
      <c r="F12" s="64"/>
      <c r="G12" s="64"/>
      <c r="H12" s="64"/>
      <c r="I12" s="64"/>
      <c r="J12" s="64"/>
      <c r="K12" s="64"/>
    </row>
    <row r="13" spans="1:23" s="1" customFormat="1" x14ac:dyDescent="0.3">
      <c r="A13" s="3"/>
      <c r="B13" s="15" t="s">
        <v>4</v>
      </c>
      <c r="C13" s="16" t="s">
        <v>5</v>
      </c>
      <c r="D13" s="17" t="s">
        <v>6</v>
      </c>
      <c r="E13" s="17" t="s">
        <v>7</v>
      </c>
      <c r="F13" s="17" t="s">
        <v>8</v>
      </c>
      <c r="G13" s="17" t="s">
        <v>9</v>
      </c>
      <c r="H13" s="17" t="s">
        <v>10</v>
      </c>
      <c r="I13" s="17" t="s">
        <v>11</v>
      </c>
      <c r="J13" s="17" t="s">
        <v>12</v>
      </c>
      <c r="K13" s="18" t="s">
        <v>13</v>
      </c>
    </row>
    <row r="14" spans="1:23" s="1" customFormat="1" x14ac:dyDescent="0.3">
      <c r="A14" s="3"/>
      <c r="B14" s="19" t="s">
        <v>14</v>
      </c>
      <c r="C14" s="20">
        <f>B11*25.21%</f>
        <v>6373441.9962990005</v>
      </c>
      <c r="D14" s="20">
        <f>B11*10.78%</f>
        <v>2725335.3716819999</v>
      </c>
      <c r="E14" s="20">
        <f>B11*15.05%</f>
        <v>3804851.3305950002</v>
      </c>
      <c r="F14" s="21">
        <f>SUM(C14:E14)</f>
        <v>12903628.698576</v>
      </c>
      <c r="G14" s="22">
        <f>B11*6.71%</f>
        <v>1696382.2211489999</v>
      </c>
      <c r="H14" s="22">
        <f>B11*6.22%</f>
        <v>1572503.3406180001</v>
      </c>
      <c r="I14" s="22">
        <f>B11*5.84%</f>
        <v>1476434.0046960001</v>
      </c>
      <c r="J14" s="21">
        <f>SUM(G14:I14)</f>
        <v>4745319.5664630001</v>
      </c>
      <c r="K14" s="23">
        <f>SUM(J14,F14)</f>
        <v>17648948.265039001</v>
      </c>
    </row>
    <row r="15" spans="1:23" s="1" customFormat="1" x14ac:dyDescent="0.3">
      <c r="A15" s="3"/>
      <c r="B15" s="19" t="s">
        <v>15</v>
      </c>
      <c r="C15" s="20">
        <v>0</v>
      </c>
      <c r="D15" s="20">
        <v>0</v>
      </c>
      <c r="E15" s="20">
        <v>0</v>
      </c>
      <c r="F15" s="21">
        <f>SUM(C15:E15)</f>
        <v>0</v>
      </c>
      <c r="G15" s="22">
        <v>0</v>
      </c>
      <c r="H15" s="22">
        <v>0</v>
      </c>
      <c r="I15" s="22">
        <v>0</v>
      </c>
      <c r="J15" s="21">
        <f>SUM(G15:I15)</f>
        <v>0</v>
      </c>
      <c r="K15" s="23">
        <f>SUM(J15,F15)</f>
        <v>0</v>
      </c>
    </row>
    <row r="16" spans="1:23" s="1" customFormat="1" x14ac:dyDescent="0.3">
      <c r="A16" s="3"/>
      <c r="B16" s="24" t="s">
        <v>16</v>
      </c>
      <c r="C16" s="25">
        <f>SUM(C14:C15)</f>
        <v>6373441.9962990005</v>
      </c>
      <c r="D16" s="25">
        <f>SUM(D14:D15)</f>
        <v>2725335.3716819999</v>
      </c>
      <c r="E16" s="25">
        <f>SUM(E14:E15)</f>
        <v>3804851.3305950002</v>
      </c>
      <c r="F16" s="21">
        <f>SUM(C16:E16)</f>
        <v>12903628.698576</v>
      </c>
      <c r="G16" s="25">
        <f>SUM(G14:G15)</f>
        <v>1696382.2211489999</v>
      </c>
      <c r="H16" s="25">
        <f>SUM(H14:H15)</f>
        <v>1572503.3406180001</v>
      </c>
      <c r="I16" s="25">
        <f>SUM(I14:I15)</f>
        <v>1476434.0046960001</v>
      </c>
      <c r="J16" s="21">
        <f>SUM(G16:I16)</f>
        <v>4745319.5664630001</v>
      </c>
      <c r="K16" s="23">
        <f>F16+J16</f>
        <v>17648948.265039001</v>
      </c>
    </row>
    <row r="17" spans="1:11" s="29" customFormat="1" x14ac:dyDescent="0.3">
      <c r="A17" s="3"/>
      <c r="B17" s="26" t="s">
        <v>17</v>
      </c>
      <c r="C17" s="27">
        <f t="shared" ref="C17:J17" si="0">C16/$K$39</f>
        <v>0.25207479252074794</v>
      </c>
      <c r="D17" s="27">
        <f t="shared" si="0"/>
        <v>0.10778922107789221</v>
      </c>
      <c r="E17" s="27">
        <f t="shared" si="0"/>
        <v>0.15048495150484953</v>
      </c>
      <c r="F17" s="59">
        <f t="shared" si="0"/>
        <v>0.51034896510348959</v>
      </c>
      <c r="G17" s="27">
        <f t="shared" si="0"/>
        <v>6.7093290670932906E-2</v>
      </c>
      <c r="H17" s="27">
        <f t="shared" si="0"/>
        <v>6.2193780621937811E-2</v>
      </c>
      <c r="I17" s="27">
        <f t="shared" si="0"/>
        <v>5.8394160583941611E-2</v>
      </c>
      <c r="J17" s="59">
        <f t="shared" si="0"/>
        <v>0.18768123187681232</v>
      </c>
      <c r="K17" s="28">
        <f>K16/$K$39</f>
        <v>0.698030196980302</v>
      </c>
    </row>
    <row r="18" spans="1:11" s="1" customFormat="1" ht="24.95" customHeight="1" x14ac:dyDescent="0.3">
      <c r="A18" s="3"/>
      <c r="B18" s="30" t="s">
        <v>18</v>
      </c>
      <c r="C18" s="21">
        <f>C19+C20+C21+C22+C23</f>
        <v>2060055.0574999999</v>
      </c>
      <c r="D18" s="21">
        <f>D19+D20+D21+D22+D23</f>
        <v>2060055.0574999999</v>
      </c>
      <c r="E18" s="21">
        <f>E19+E20+E21+E22+E23</f>
        <v>2060055.0574999999</v>
      </c>
      <c r="F18" s="21">
        <f t="shared" ref="F18:F27" si="1">SUM(C18:E18)</f>
        <v>6180165.1724999994</v>
      </c>
      <c r="G18" s="21">
        <f>G19+G20+G21+G22+G23</f>
        <v>2060055.0574999999</v>
      </c>
      <c r="H18" s="21">
        <f>H19+H20+H21+H22+H23</f>
        <v>2060055.0574999999</v>
      </c>
      <c r="I18" s="21">
        <f>I19+I20+I21+I22+I23</f>
        <v>2060055.0574999999</v>
      </c>
      <c r="J18" s="21">
        <f t="shared" ref="J18:J29" si="2">SUM(G18:I18)</f>
        <v>6180165.1724999994</v>
      </c>
      <c r="K18" s="23">
        <f>SUM(J18,F18,)</f>
        <v>12360330.344999999</v>
      </c>
    </row>
    <row r="19" spans="1:11" s="1" customFormat="1" ht="20.100000000000001" customHeight="1" x14ac:dyDescent="0.3">
      <c r="A19" s="3"/>
      <c r="B19" s="19" t="s">
        <v>19</v>
      </c>
      <c r="C19" s="22">
        <f>C58/12</f>
        <v>610383.39916666667</v>
      </c>
      <c r="D19" s="22">
        <f>C58/12</f>
        <v>610383.39916666667</v>
      </c>
      <c r="E19" s="22">
        <f>C58/12</f>
        <v>610383.39916666667</v>
      </c>
      <c r="F19" s="31">
        <f t="shared" si="1"/>
        <v>1831150.1975</v>
      </c>
      <c r="G19" s="22">
        <f>$E$19</f>
        <v>610383.39916666667</v>
      </c>
      <c r="H19" s="22">
        <f>$E$19</f>
        <v>610383.39916666667</v>
      </c>
      <c r="I19" s="22">
        <f>$E$19</f>
        <v>610383.39916666667</v>
      </c>
      <c r="J19" s="22">
        <f t="shared" si="2"/>
        <v>1831150.1975</v>
      </c>
      <c r="K19" s="32">
        <f>SUM(J19,F19,)</f>
        <v>3662300.395</v>
      </c>
    </row>
    <row r="20" spans="1:11" s="1" customFormat="1" ht="20.100000000000001" customHeight="1" x14ac:dyDescent="0.3">
      <c r="A20" s="3"/>
      <c r="B20" s="19" t="s">
        <v>20</v>
      </c>
      <c r="C20" s="22">
        <f>C59/12</f>
        <v>0</v>
      </c>
      <c r="D20" s="22">
        <f>$C$20</f>
        <v>0</v>
      </c>
      <c r="E20" s="22">
        <f>$C$20</f>
        <v>0</v>
      </c>
      <c r="F20" s="31">
        <f t="shared" si="1"/>
        <v>0</v>
      </c>
      <c r="G20" s="22">
        <f>$C$20</f>
        <v>0</v>
      </c>
      <c r="H20" s="22">
        <f>$C$20</f>
        <v>0</v>
      </c>
      <c r="I20" s="22">
        <f>$C$20</f>
        <v>0</v>
      </c>
      <c r="J20" s="22">
        <f t="shared" si="2"/>
        <v>0</v>
      </c>
      <c r="K20" s="23">
        <f>SUM(J20,F20,)</f>
        <v>0</v>
      </c>
    </row>
    <row r="21" spans="1:11" s="1" customFormat="1" ht="20.100000000000001" customHeight="1" x14ac:dyDescent="0.3">
      <c r="A21" s="3"/>
      <c r="B21" s="19" t="s">
        <v>21</v>
      </c>
      <c r="C21" s="22">
        <f>C60/12</f>
        <v>52530.887500000004</v>
      </c>
      <c r="D21" s="22">
        <f>$C$21</f>
        <v>52530.887500000004</v>
      </c>
      <c r="E21" s="22">
        <f>$C$21</f>
        <v>52530.887500000004</v>
      </c>
      <c r="F21" s="31">
        <f t="shared" si="1"/>
        <v>157592.66250000001</v>
      </c>
      <c r="G21" s="22">
        <f>$C$21</f>
        <v>52530.887500000004</v>
      </c>
      <c r="H21" s="22">
        <f>$C$21</f>
        <v>52530.887500000004</v>
      </c>
      <c r="I21" s="22">
        <f>$C$21</f>
        <v>52530.887500000004</v>
      </c>
      <c r="J21" s="22">
        <f t="shared" si="2"/>
        <v>157592.66250000001</v>
      </c>
      <c r="K21" s="23">
        <f>SUM(J21,F21,)</f>
        <v>315185.32500000001</v>
      </c>
    </row>
    <row r="22" spans="1:11" s="1" customFormat="1" ht="20.100000000000001" customHeight="1" x14ac:dyDescent="0.3">
      <c r="B22" s="19" t="s">
        <v>22</v>
      </c>
      <c r="C22" s="22">
        <f>C61/12</f>
        <v>24401.096666666665</v>
      </c>
      <c r="D22" s="22">
        <f>$C$22</f>
        <v>24401.096666666665</v>
      </c>
      <c r="E22" s="22">
        <f>$C$22</f>
        <v>24401.096666666665</v>
      </c>
      <c r="F22" s="31">
        <f t="shared" si="1"/>
        <v>73203.289999999994</v>
      </c>
      <c r="G22" s="22">
        <f>$C$22</f>
        <v>24401.096666666665</v>
      </c>
      <c r="H22" s="22">
        <f>$C$22</f>
        <v>24401.096666666665</v>
      </c>
      <c r="I22" s="22">
        <f>$C$22</f>
        <v>24401.096666666665</v>
      </c>
      <c r="J22" s="22">
        <f t="shared" si="2"/>
        <v>73203.289999999994</v>
      </c>
      <c r="K22" s="23">
        <f>SUM(J22,F22,)</f>
        <v>146406.57999999999</v>
      </c>
    </row>
    <row r="23" spans="1:11" s="1" customFormat="1" ht="20.100000000000001" customHeight="1" x14ac:dyDescent="0.3">
      <c r="B23" s="19" t="s">
        <v>23</v>
      </c>
      <c r="C23" s="22">
        <f>C62/12</f>
        <v>1372739.6741666666</v>
      </c>
      <c r="D23" s="22">
        <f>$C$23</f>
        <v>1372739.6741666666</v>
      </c>
      <c r="E23" s="22">
        <f>$C$23</f>
        <v>1372739.6741666666</v>
      </c>
      <c r="F23" s="31">
        <f t="shared" si="1"/>
        <v>4118219.0225</v>
      </c>
      <c r="G23" s="22">
        <f>$C$23</f>
        <v>1372739.6741666666</v>
      </c>
      <c r="H23" s="22">
        <f>$C$23</f>
        <v>1372739.6741666666</v>
      </c>
      <c r="I23" s="22">
        <f>$C$23</f>
        <v>1372739.6741666666</v>
      </c>
      <c r="J23" s="22">
        <f t="shared" si="2"/>
        <v>4118219.0225</v>
      </c>
      <c r="K23" s="23">
        <f>SUM(J23,F23)</f>
        <v>8236438.0449999999</v>
      </c>
    </row>
    <row r="24" spans="1:11" s="1" customFormat="1" ht="24.95" customHeight="1" x14ac:dyDescent="0.3">
      <c r="A24" s="3"/>
      <c r="B24" s="30" t="s">
        <v>24</v>
      </c>
      <c r="C24" s="31">
        <f>C25+C28</f>
        <v>38395.291666666672</v>
      </c>
      <c r="D24" s="31">
        <f>D25</f>
        <v>38395.291666666672</v>
      </c>
      <c r="E24" s="31">
        <f>E25</f>
        <v>38395.291666666672</v>
      </c>
      <c r="F24" s="31">
        <f t="shared" si="1"/>
        <v>115185.87500000001</v>
      </c>
      <c r="G24" s="31">
        <f>G25</f>
        <v>38395.291666666672</v>
      </c>
      <c r="H24" s="31">
        <f>H25</f>
        <v>38395.291666666672</v>
      </c>
      <c r="I24" s="31">
        <f>I25</f>
        <v>38395.291666666672</v>
      </c>
      <c r="J24" s="31">
        <f t="shared" si="2"/>
        <v>115185.87500000001</v>
      </c>
      <c r="K24" s="23">
        <f>SUM(J24,F24,)</f>
        <v>230371.75000000003</v>
      </c>
    </row>
    <row r="25" spans="1:11" s="1" customFormat="1" ht="20.100000000000001" customHeight="1" x14ac:dyDescent="0.3">
      <c r="A25" s="3"/>
      <c r="B25" s="19" t="s">
        <v>25</v>
      </c>
      <c r="C25" s="22">
        <f>SUM(C26:C27)</f>
        <v>38395.291666666672</v>
      </c>
      <c r="D25" s="22">
        <f>SUM(D26:D28)</f>
        <v>38395.291666666672</v>
      </c>
      <c r="E25" s="22">
        <f>SUM(E26:E28)</f>
        <v>38395.291666666672</v>
      </c>
      <c r="F25" s="22">
        <f t="shared" si="1"/>
        <v>115185.87500000001</v>
      </c>
      <c r="G25" s="22">
        <f>SUM(G26:G28)</f>
        <v>38395.291666666672</v>
      </c>
      <c r="H25" s="22">
        <f>SUM(H26:H28)</f>
        <v>38395.291666666672</v>
      </c>
      <c r="I25" s="22">
        <f>SUM(I26:I28)</f>
        <v>38395.291666666672</v>
      </c>
      <c r="J25" s="22">
        <f t="shared" si="2"/>
        <v>115185.87500000001</v>
      </c>
      <c r="K25" s="32">
        <f t="shared" ref="K25:K30" si="3">SUM(J25,F25)</f>
        <v>230371.75000000003</v>
      </c>
    </row>
    <row r="26" spans="1:11" s="1" customFormat="1" ht="20.100000000000001" customHeight="1" x14ac:dyDescent="0.3">
      <c r="B26" s="19" t="s">
        <v>26</v>
      </c>
      <c r="C26" s="22">
        <f>C63/12</f>
        <v>11625</v>
      </c>
      <c r="D26" s="22">
        <f>$C$26</f>
        <v>11625</v>
      </c>
      <c r="E26" s="22">
        <f>$C$26</f>
        <v>11625</v>
      </c>
      <c r="F26" s="22">
        <f t="shared" si="1"/>
        <v>34875</v>
      </c>
      <c r="G26" s="22">
        <f>$C$26</f>
        <v>11625</v>
      </c>
      <c r="H26" s="22">
        <f>$C$26</f>
        <v>11625</v>
      </c>
      <c r="I26" s="22">
        <f>$C$26</f>
        <v>11625</v>
      </c>
      <c r="J26" s="22">
        <f t="shared" si="2"/>
        <v>34875</v>
      </c>
      <c r="K26" s="23">
        <f t="shared" si="3"/>
        <v>69750</v>
      </c>
    </row>
    <row r="27" spans="1:11" s="1" customFormat="1" ht="20.100000000000001" customHeight="1" x14ac:dyDescent="0.3">
      <c r="B27" s="19" t="s">
        <v>27</v>
      </c>
      <c r="C27" s="22">
        <f>C64/12</f>
        <v>26770.291666666668</v>
      </c>
      <c r="D27" s="22">
        <f>$C$27</f>
        <v>26770.291666666668</v>
      </c>
      <c r="E27" s="22">
        <f>$C$27</f>
        <v>26770.291666666668</v>
      </c>
      <c r="F27" s="22">
        <f t="shared" si="1"/>
        <v>80310.875</v>
      </c>
      <c r="G27" s="22">
        <f>$C$27</f>
        <v>26770.291666666668</v>
      </c>
      <c r="H27" s="22">
        <f>$C$27</f>
        <v>26770.291666666668</v>
      </c>
      <c r="I27" s="22">
        <f>$C$27</f>
        <v>26770.291666666668</v>
      </c>
      <c r="J27" s="22">
        <f t="shared" si="2"/>
        <v>80310.875</v>
      </c>
      <c r="K27" s="23">
        <f t="shared" si="3"/>
        <v>160621.75</v>
      </c>
    </row>
    <row r="28" spans="1:11" s="1" customFormat="1" ht="20.100000000000001" customHeight="1" x14ac:dyDescent="0.3">
      <c r="B28" s="19" t="s">
        <v>28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31">
        <f t="shared" si="2"/>
        <v>0</v>
      </c>
      <c r="K28" s="23">
        <f t="shared" si="3"/>
        <v>0</v>
      </c>
    </row>
    <row r="29" spans="1:11" s="1" customFormat="1" ht="24.95" customHeight="1" x14ac:dyDescent="0.3">
      <c r="A29" s="3"/>
      <c r="B29" s="30" t="s">
        <v>29</v>
      </c>
      <c r="C29" s="31">
        <v>0</v>
      </c>
      <c r="D29" s="31">
        <v>0</v>
      </c>
      <c r="E29" s="31">
        <v>0</v>
      </c>
      <c r="F29" s="31">
        <f>SUM(C29:E29)</f>
        <v>0</v>
      </c>
      <c r="G29" s="31">
        <v>0</v>
      </c>
      <c r="H29" s="31">
        <v>0</v>
      </c>
      <c r="I29" s="31">
        <v>0</v>
      </c>
      <c r="J29" s="31">
        <f t="shared" si="2"/>
        <v>0</v>
      </c>
      <c r="K29" s="23">
        <f t="shared" si="3"/>
        <v>0</v>
      </c>
    </row>
    <row r="30" spans="1:11" s="1" customFormat="1" ht="20.100000000000001" customHeight="1" x14ac:dyDescent="0.3">
      <c r="B30" s="24" t="s">
        <v>30</v>
      </c>
      <c r="C30" s="25">
        <f>C18+C24</f>
        <v>2098450.3491666666</v>
      </c>
      <c r="D30" s="25">
        <f>D18+D24</f>
        <v>2098450.3491666666</v>
      </c>
      <c r="E30" s="25">
        <f>E18+E24</f>
        <v>2098450.3491666666</v>
      </c>
      <c r="F30" s="25">
        <f>F18+F24+F29</f>
        <v>6295351.0474999994</v>
      </c>
      <c r="G30" s="25">
        <f>G18+G24</f>
        <v>2098450.3491666666</v>
      </c>
      <c r="H30" s="25">
        <f>H18+H24</f>
        <v>2098450.3491666666</v>
      </c>
      <c r="I30" s="25">
        <f>I18+I24</f>
        <v>2098450.3491666666</v>
      </c>
      <c r="J30" s="25">
        <f>J18+J24+F29</f>
        <v>6295351.0474999994</v>
      </c>
      <c r="K30" s="23">
        <f t="shared" si="3"/>
        <v>12590702.094999999</v>
      </c>
    </row>
    <row r="31" spans="1:11" s="29" customFormat="1" ht="19.5" thickBot="1" x14ac:dyDescent="0.35">
      <c r="A31" s="3"/>
      <c r="B31" s="26" t="s">
        <v>17</v>
      </c>
      <c r="C31" s="27">
        <f>C30/$K$53</f>
        <v>8.3003710292195873E-2</v>
      </c>
      <c r="D31" s="27">
        <f t="shared" ref="D31:K31" si="4">D30/$K$53</f>
        <v>8.3003710292195873E-2</v>
      </c>
      <c r="E31" s="27">
        <f t="shared" si="4"/>
        <v>8.3003710292195873E-2</v>
      </c>
      <c r="F31" s="59">
        <f t="shared" si="4"/>
        <v>0.24901113087658761</v>
      </c>
      <c r="G31" s="27">
        <f t="shared" si="4"/>
        <v>8.3003710292195873E-2</v>
      </c>
      <c r="H31" s="27">
        <f t="shared" si="4"/>
        <v>8.3003710292195873E-2</v>
      </c>
      <c r="I31" s="27">
        <f t="shared" si="4"/>
        <v>8.3003710292195873E-2</v>
      </c>
      <c r="J31" s="59">
        <f t="shared" si="4"/>
        <v>0.24901113087658761</v>
      </c>
      <c r="K31" s="33">
        <f t="shared" si="4"/>
        <v>0.49802226175317521</v>
      </c>
    </row>
    <row r="32" spans="1:11" s="1" customFormat="1" ht="24.95" customHeight="1" thickTop="1" thickBot="1" x14ac:dyDescent="0.35">
      <c r="A32" s="3"/>
      <c r="B32" s="34" t="s">
        <v>31</v>
      </c>
      <c r="C32" s="35">
        <f>C16-C30</f>
        <v>4274991.6471323334</v>
      </c>
      <c r="D32" s="35">
        <f>(C32+D16)-D30</f>
        <v>4901876.6696476657</v>
      </c>
      <c r="E32" s="35">
        <f>(D32+E16)-E30</f>
        <v>6608277.6510759983</v>
      </c>
      <c r="F32" s="35">
        <v>0</v>
      </c>
      <c r="G32" s="35">
        <f>(E32+G16)-G30</f>
        <v>6206209.5230583306</v>
      </c>
      <c r="H32" s="35">
        <f>(G32+H16)-H30</f>
        <v>5680262.5145096648</v>
      </c>
      <c r="I32" s="35">
        <f>(H32+I16)-I30</f>
        <v>5058246.1700389981</v>
      </c>
      <c r="J32" s="35">
        <v>0</v>
      </c>
      <c r="K32" s="36">
        <f>SUM(J32,F32)</f>
        <v>0</v>
      </c>
    </row>
    <row r="33" spans="1:23" s="29" customFormat="1" ht="19.5" thickTop="1" x14ac:dyDescent="0.3">
      <c r="A33" s="37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7"/>
      <c r="V33" s="37"/>
      <c r="W33" s="37"/>
    </row>
    <row r="34" spans="1:23" s="1" customFormat="1" ht="19.5" thickBot="1" x14ac:dyDescent="0.35">
      <c r="A34" s="3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39"/>
      <c r="T34" s="3"/>
      <c r="U34" s="3"/>
      <c r="V34" s="4"/>
    </row>
    <row r="35" spans="1:23" s="1" customFormat="1" ht="19.5" thickTop="1" x14ac:dyDescent="0.3">
      <c r="A35" s="3"/>
      <c r="B35" s="14" t="s">
        <v>2</v>
      </c>
      <c r="C35" s="64" t="s">
        <v>3</v>
      </c>
      <c r="D35" s="64"/>
      <c r="E35" s="64"/>
      <c r="F35" s="64"/>
      <c r="G35" s="64"/>
      <c r="H35" s="64"/>
      <c r="I35" s="64"/>
      <c r="J35" s="64"/>
      <c r="K35" s="64"/>
      <c r="L35" s="41"/>
      <c r="M35" s="41"/>
      <c r="N35" s="41"/>
      <c r="O35" s="41"/>
      <c r="P35" s="41"/>
      <c r="Q35" s="41"/>
      <c r="R35" s="41"/>
      <c r="T35" s="3"/>
      <c r="U35" s="3"/>
      <c r="V35" s="2"/>
    </row>
    <row r="36" spans="1:23" s="1" customFormat="1" x14ac:dyDescent="0.3">
      <c r="A36" s="3"/>
      <c r="B36" s="15" t="s">
        <v>4</v>
      </c>
      <c r="C36" s="17" t="s">
        <v>32</v>
      </c>
      <c r="D36" s="17" t="s">
        <v>33</v>
      </c>
      <c r="E36" s="17" t="s">
        <v>34</v>
      </c>
      <c r="F36" s="17" t="s">
        <v>35</v>
      </c>
      <c r="G36" s="17" t="s">
        <v>36</v>
      </c>
      <c r="H36" s="17" t="s">
        <v>37</v>
      </c>
      <c r="I36" s="17" t="s">
        <v>38</v>
      </c>
      <c r="J36" s="17" t="s">
        <v>39</v>
      </c>
      <c r="K36" s="18" t="s">
        <v>40</v>
      </c>
      <c r="L36" s="41"/>
      <c r="M36" s="41"/>
      <c r="N36" s="41"/>
      <c r="O36" s="41"/>
      <c r="P36" s="41"/>
      <c r="Q36" s="41"/>
      <c r="R36" s="41"/>
      <c r="T36" s="3"/>
      <c r="U36" s="3"/>
      <c r="V36" s="2"/>
    </row>
    <row r="37" spans="1:23" s="1" customFormat="1" x14ac:dyDescent="0.3">
      <c r="A37" s="3"/>
      <c r="B37" s="19" t="s">
        <v>14</v>
      </c>
      <c r="C37" s="22">
        <f>B11*5.98%</f>
        <v>1511827.9705620003</v>
      </c>
      <c r="D37" s="22">
        <f>B11*5.67%</f>
        <v>1433455.617573</v>
      </c>
      <c r="E37" s="22">
        <f>B11*4.98%</f>
        <v>1259013.9286620002</v>
      </c>
      <c r="F37" s="21">
        <f>SUM(C37:E37)</f>
        <v>4204297.5167970005</v>
      </c>
      <c r="G37" s="22">
        <f>B11*4.71%</f>
        <v>1190754.1373490002</v>
      </c>
      <c r="H37" s="22">
        <f>B11*4.36%</f>
        <v>1102269.2226840002</v>
      </c>
      <c r="I37" s="22">
        <f>B11*4.5%</f>
        <v>1137663.1885500001</v>
      </c>
      <c r="J37" s="21">
        <f>SUM(G37:I37)</f>
        <v>3430686.5485830004</v>
      </c>
      <c r="K37" s="23">
        <f>SUM(J37,F37,J14,F14)</f>
        <v>25283932.330419</v>
      </c>
      <c r="L37" s="41"/>
      <c r="M37" s="41"/>
      <c r="N37" s="41"/>
      <c r="O37" s="41"/>
      <c r="P37" s="41"/>
      <c r="Q37" s="41"/>
      <c r="R37" s="41"/>
      <c r="T37" s="3"/>
      <c r="U37" s="3"/>
      <c r="V37" s="2"/>
    </row>
    <row r="38" spans="1:23" s="1" customFormat="1" x14ac:dyDescent="0.3">
      <c r="B38" s="19" t="s">
        <v>15</v>
      </c>
      <c r="C38" s="22">
        <v>0</v>
      </c>
      <c r="D38" s="22">
        <v>0</v>
      </c>
      <c r="E38" s="22">
        <v>0</v>
      </c>
      <c r="F38" s="21">
        <f>SUM(C38:E38)</f>
        <v>0</v>
      </c>
      <c r="G38" s="22">
        <v>0</v>
      </c>
      <c r="H38" s="22">
        <v>0</v>
      </c>
      <c r="I38" s="22">
        <v>0</v>
      </c>
      <c r="J38" s="21">
        <f>SUM(G38:I38)</f>
        <v>0</v>
      </c>
      <c r="K38" s="23">
        <f>SUM(J38,F38,J15,F15)</f>
        <v>0</v>
      </c>
      <c r="L38" s="41"/>
      <c r="M38" s="41"/>
      <c r="N38" s="41"/>
      <c r="O38" s="41"/>
      <c r="P38" s="41"/>
      <c r="Q38" s="41"/>
      <c r="R38" s="41"/>
      <c r="T38" s="3"/>
      <c r="U38" s="3"/>
      <c r="V38" s="2"/>
    </row>
    <row r="39" spans="1:23" x14ac:dyDescent="0.3">
      <c r="B39" s="24" t="s">
        <v>16</v>
      </c>
      <c r="C39" s="25">
        <f>SUM(C37:C38)</f>
        <v>1511827.9705620003</v>
      </c>
      <c r="D39" s="25">
        <f>SUM(D37:D38)</f>
        <v>1433455.617573</v>
      </c>
      <c r="E39" s="25">
        <f>SUM(E37:E38)</f>
        <v>1259013.9286620002</v>
      </c>
      <c r="F39" s="21">
        <f>SUM(C39:E39)</f>
        <v>4204297.5167970005</v>
      </c>
      <c r="G39" s="25">
        <f>SUM(G37:G38)</f>
        <v>1190754.1373490002</v>
      </c>
      <c r="H39" s="25">
        <f>SUM(H37:H38)</f>
        <v>1102269.2226840002</v>
      </c>
      <c r="I39" s="25">
        <f>SUM(I37:I38)</f>
        <v>1137663.1885500001</v>
      </c>
      <c r="J39" s="21">
        <f>SUM(G39:I39)</f>
        <v>3430686.5485830004</v>
      </c>
      <c r="K39" s="23">
        <f>SUM(J39,F39,J16,F16)</f>
        <v>25283932.330419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3" ht="19.5" thickBot="1" x14ac:dyDescent="0.35">
      <c r="B40" s="26" t="s">
        <v>17</v>
      </c>
      <c r="C40" s="27">
        <f t="shared" ref="C40:K40" si="5">C39/$K$39</f>
        <v>5.9794020597940215E-2</v>
      </c>
      <c r="D40" s="27">
        <f t="shared" si="5"/>
        <v>5.6694330566943306E-2</v>
      </c>
      <c r="E40" s="27">
        <f t="shared" si="5"/>
        <v>4.9795020497950211E-2</v>
      </c>
      <c r="F40" s="59">
        <f t="shared" si="5"/>
        <v>0.16628337166283375</v>
      </c>
      <c r="G40" s="27">
        <f t="shared" si="5"/>
        <v>4.7095290470952914E-2</v>
      </c>
      <c r="H40" s="27">
        <f t="shared" si="5"/>
        <v>4.3595640435956408E-2</v>
      </c>
      <c r="I40" s="27">
        <f t="shared" si="5"/>
        <v>4.4995500449955005E-2</v>
      </c>
      <c r="J40" s="59">
        <f t="shared" si="5"/>
        <v>0.13568643135686434</v>
      </c>
      <c r="K40" s="60">
        <f t="shared" si="5"/>
        <v>1</v>
      </c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3"/>
    </row>
    <row r="41" spans="1:23" x14ac:dyDescent="0.3">
      <c r="B41" s="30" t="s">
        <v>18</v>
      </c>
      <c r="C41" s="21">
        <f>C42+C43+C44+C45+C46</f>
        <v>2060055.0574999999</v>
      </c>
      <c r="D41" s="21">
        <f>D42+D43+D44+D45+D46</f>
        <v>2060055.0574999999</v>
      </c>
      <c r="E41" s="21">
        <f>E42+E43+E44+E45+E46</f>
        <v>2060055.0574999999</v>
      </c>
      <c r="F41" s="21">
        <f t="shared" ref="F41:F52" si="6">SUM(C41:E41)</f>
        <v>6180165.1724999994</v>
      </c>
      <c r="G41" s="21">
        <f>G42+G43+G44+G45+G46</f>
        <v>2060055.0574999999</v>
      </c>
      <c r="H41" s="21">
        <f>H42+H43+H44+H45+H46</f>
        <v>2060055.0574999999</v>
      </c>
      <c r="I41" s="21">
        <f>I42+I43+I44+I45+I46</f>
        <v>2060055.0574999999</v>
      </c>
      <c r="J41" s="21">
        <f t="shared" ref="J41:J50" si="7">SUM(G41:I41)</f>
        <v>6180165.1724999994</v>
      </c>
      <c r="K41" s="23">
        <f t="shared" ref="K41:K53" si="8">SUM(J41,F41,J18,F18)</f>
        <v>24720660.689999998</v>
      </c>
    </row>
    <row r="42" spans="1:23" x14ac:dyDescent="0.3">
      <c r="B42" s="19" t="s">
        <v>19</v>
      </c>
      <c r="C42" s="22">
        <f>$E$19</f>
        <v>610383.39916666667</v>
      </c>
      <c r="D42" s="22">
        <f>$E$19</f>
        <v>610383.39916666667</v>
      </c>
      <c r="E42" s="22">
        <f>$E$19</f>
        <v>610383.39916666667</v>
      </c>
      <c r="F42" s="22">
        <f t="shared" si="6"/>
        <v>1831150.1975</v>
      </c>
      <c r="G42" s="22">
        <f>$E$19</f>
        <v>610383.39916666667</v>
      </c>
      <c r="H42" s="22">
        <f>$E$19</f>
        <v>610383.39916666667</v>
      </c>
      <c r="I42" s="22">
        <f>$E$19</f>
        <v>610383.39916666667</v>
      </c>
      <c r="J42" s="22">
        <f t="shared" si="7"/>
        <v>1831150.1975</v>
      </c>
      <c r="K42" s="32">
        <f t="shared" si="8"/>
        <v>7324600.79</v>
      </c>
    </row>
    <row r="43" spans="1:23" x14ac:dyDescent="0.3">
      <c r="B43" s="19" t="s">
        <v>20</v>
      </c>
      <c r="C43" s="22">
        <f>$C$20</f>
        <v>0</v>
      </c>
      <c r="D43" s="22">
        <f>$C$20</f>
        <v>0</v>
      </c>
      <c r="E43" s="22">
        <f>$C$20</f>
        <v>0</v>
      </c>
      <c r="F43" s="22">
        <f t="shared" si="6"/>
        <v>0</v>
      </c>
      <c r="G43" s="22">
        <f>$C$20</f>
        <v>0</v>
      </c>
      <c r="H43" s="22">
        <f>$C$20</f>
        <v>0</v>
      </c>
      <c r="I43" s="22">
        <f>$C$20</f>
        <v>0</v>
      </c>
      <c r="J43" s="22">
        <f t="shared" si="7"/>
        <v>0</v>
      </c>
      <c r="K43" s="23">
        <f t="shared" si="8"/>
        <v>0</v>
      </c>
    </row>
    <row r="44" spans="1:23" x14ac:dyDescent="0.3">
      <c r="B44" s="19" t="s">
        <v>21</v>
      </c>
      <c r="C44" s="22">
        <f>$C$21</f>
        <v>52530.887500000004</v>
      </c>
      <c r="D44" s="22">
        <f>$C$21</f>
        <v>52530.887500000004</v>
      </c>
      <c r="E44" s="22">
        <f>$C$21</f>
        <v>52530.887500000004</v>
      </c>
      <c r="F44" s="22">
        <f t="shared" si="6"/>
        <v>157592.66250000001</v>
      </c>
      <c r="G44" s="22">
        <f>$C$21</f>
        <v>52530.887500000004</v>
      </c>
      <c r="H44" s="22">
        <f>$C$21</f>
        <v>52530.887500000004</v>
      </c>
      <c r="I44" s="22">
        <f>$C$21</f>
        <v>52530.887500000004</v>
      </c>
      <c r="J44" s="22">
        <f t="shared" si="7"/>
        <v>157592.66250000001</v>
      </c>
      <c r="K44" s="23">
        <f t="shared" si="8"/>
        <v>630370.65</v>
      </c>
    </row>
    <row r="45" spans="1:23" x14ac:dyDescent="0.3">
      <c r="B45" s="19" t="s">
        <v>22</v>
      </c>
      <c r="C45" s="22">
        <f>$C$22</f>
        <v>24401.096666666665</v>
      </c>
      <c r="D45" s="22">
        <f>$C$22</f>
        <v>24401.096666666665</v>
      </c>
      <c r="E45" s="22">
        <f>$C$22</f>
        <v>24401.096666666665</v>
      </c>
      <c r="F45" s="22">
        <f t="shared" si="6"/>
        <v>73203.289999999994</v>
      </c>
      <c r="G45" s="22">
        <f>$C$22</f>
        <v>24401.096666666665</v>
      </c>
      <c r="H45" s="22">
        <f>$C$22</f>
        <v>24401.096666666665</v>
      </c>
      <c r="I45" s="22">
        <f>$C$22</f>
        <v>24401.096666666665</v>
      </c>
      <c r="J45" s="22">
        <f t="shared" si="7"/>
        <v>73203.289999999994</v>
      </c>
      <c r="K45" s="23">
        <f t="shared" si="8"/>
        <v>292813.15999999997</v>
      </c>
    </row>
    <row r="46" spans="1:23" x14ac:dyDescent="0.3">
      <c r="B46" s="19" t="s">
        <v>23</v>
      </c>
      <c r="C46" s="22">
        <f>$C$23</f>
        <v>1372739.6741666666</v>
      </c>
      <c r="D46" s="22">
        <f>$C$23</f>
        <v>1372739.6741666666</v>
      </c>
      <c r="E46" s="22">
        <f>$C$23</f>
        <v>1372739.6741666666</v>
      </c>
      <c r="F46" s="22">
        <f t="shared" si="6"/>
        <v>4118219.0225</v>
      </c>
      <c r="G46" s="22">
        <f>$C$23</f>
        <v>1372739.6741666666</v>
      </c>
      <c r="H46" s="22">
        <f>$C$23</f>
        <v>1372739.6741666666</v>
      </c>
      <c r="I46" s="22">
        <f>$C$23</f>
        <v>1372739.6741666666</v>
      </c>
      <c r="J46" s="22">
        <f t="shared" si="7"/>
        <v>4118219.0225</v>
      </c>
      <c r="K46" s="23">
        <f t="shared" si="8"/>
        <v>16472876.09</v>
      </c>
    </row>
    <row r="47" spans="1:23" x14ac:dyDescent="0.3">
      <c r="B47" s="30" t="s">
        <v>24</v>
      </c>
      <c r="C47" s="31">
        <f>C48</f>
        <v>38395.291666666672</v>
      </c>
      <c r="D47" s="31">
        <f>D48</f>
        <v>38395.291666666672</v>
      </c>
      <c r="E47" s="31">
        <f>E48</f>
        <v>38395.291666666672</v>
      </c>
      <c r="F47" s="31">
        <f t="shared" si="6"/>
        <v>115185.87500000001</v>
      </c>
      <c r="G47" s="31">
        <f>G48</f>
        <v>38395.291666666672</v>
      </c>
      <c r="H47" s="31">
        <f>H48</f>
        <v>38395.291666666672</v>
      </c>
      <c r="I47" s="31">
        <f>I48</f>
        <v>38395.291666666672</v>
      </c>
      <c r="J47" s="31">
        <f t="shared" si="7"/>
        <v>115185.87500000001</v>
      </c>
      <c r="K47" s="23">
        <f t="shared" si="8"/>
        <v>460743.50000000006</v>
      </c>
    </row>
    <row r="48" spans="1:23" x14ac:dyDescent="0.3">
      <c r="B48" s="19" t="s">
        <v>25</v>
      </c>
      <c r="C48" s="22">
        <f>SUM(C49:C51)</f>
        <v>38395.291666666672</v>
      </c>
      <c r="D48" s="22">
        <f>SUM(D49:D51)</f>
        <v>38395.291666666672</v>
      </c>
      <c r="E48" s="22">
        <f>SUM(E49:E51)</f>
        <v>38395.291666666672</v>
      </c>
      <c r="F48" s="22">
        <f t="shared" si="6"/>
        <v>115185.87500000001</v>
      </c>
      <c r="G48" s="22">
        <f>SUM(G49:G50)</f>
        <v>38395.291666666672</v>
      </c>
      <c r="H48" s="22">
        <f>SUM(H49:H51)</f>
        <v>38395.291666666672</v>
      </c>
      <c r="I48" s="22">
        <f>SUM(I49:I51)</f>
        <v>38395.291666666672</v>
      </c>
      <c r="J48" s="22">
        <f t="shared" si="7"/>
        <v>115185.87500000001</v>
      </c>
      <c r="K48" s="32">
        <f t="shared" si="8"/>
        <v>460743.50000000006</v>
      </c>
    </row>
    <row r="49" spans="2:11" x14ac:dyDescent="0.3">
      <c r="B49" s="19" t="s">
        <v>26</v>
      </c>
      <c r="C49" s="22">
        <f>$C$26</f>
        <v>11625</v>
      </c>
      <c r="D49" s="22">
        <f>$C$26</f>
        <v>11625</v>
      </c>
      <c r="E49" s="22">
        <f>$C$26</f>
        <v>11625</v>
      </c>
      <c r="F49" s="22">
        <f t="shared" si="6"/>
        <v>34875</v>
      </c>
      <c r="G49" s="22">
        <f>$C$26</f>
        <v>11625</v>
      </c>
      <c r="H49" s="22">
        <f>$C$26</f>
        <v>11625</v>
      </c>
      <c r="I49" s="22">
        <f>$C$26</f>
        <v>11625</v>
      </c>
      <c r="J49" s="22">
        <f t="shared" si="7"/>
        <v>34875</v>
      </c>
      <c r="K49" s="23">
        <f t="shared" si="8"/>
        <v>139500</v>
      </c>
    </row>
    <row r="50" spans="2:11" x14ac:dyDescent="0.3">
      <c r="B50" s="19" t="s">
        <v>27</v>
      </c>
      <c r="C50" s="22">
        <f>$C$27</f>
        <v>26770.291666666668</v>
      </c>
      <c r="D50" s="22">
        <f>$C$27</f>
        <v>26770.291666666668</v>
      </c>
      <c r="E50" s="22">
        <f>$C$27</f>
        <v>26770.291666666668</v>
      </c>
      <c r="F50" s="22">
        <f t="shared" si="6"/>
        <v>80310.875</v>
      </c>
      <c r="G50" s="22">
        <f>$C$27</f>
        <v>26770.291666666668</v>
      </c>
      <c r="H50" s="22">
        <f>$C$27</f>
        <v>26770.291666666668</v>
      </c>
      <c r="I50" s="22">
        <f>$C$27</f>
        <v>26770.291666666668</v>
      </c>
      <c r="J50" s="22">
        <f t="shared" si="7"/>
        <v>80310.875</v>
      </c>
      <c r="K50" s="23">
        <f t="shared" si="8"/>
        <v>321243.5</v>
      </c>
    </row>
    <row r="51" spans="2:11" x14ac:dyDescent="0.3">
      <c r="B51" s="19" t="s">
        <v>28</v>
      </c>
      <c r="C51" s="22">
        <v>0</v>
      </c>
      <c r="D51" s="22">
        <v>0</v>
      </c>
      <c r="E51" s="22">
        <v>0</v>
      </c>
      <c r="F51" s="22">
        <f t="shared" si="6"/>
        <v>0</v>
      </c>
      <c r="G51" s="22">
        <v>0</v>
      </c>
      <c r="H51" s="22">
        <v>0</v>
      </c>
      <c r="I51" s="22">
        <v>0</v>
      </c>
      <c r="J51" s="22">
        <v>0</v>
      </c>
      <c r="K51" s="23">
        <f t="shared" si="8"/>
        <v>0</v>
      </c>
    </row>
    <row r="52" spans="2:11" x14ac:dyDescent="0.3">
      <c r="B52" s="30" t="s">
        <v>29</v>
      </c>
      <c r="C52" s="31">
        <v>0</v>
      </c>
      <c r="D52" s="31">
        <v>0</v>
      </c>
      <c r="E52" s="31">
        <v>0</v>
      </c>
      <c r="F52" s="31">
        <f t="shared" si="6"/>
        <v>0</v>
      </c>
      <c r="G52" s="31">
        <v>0</v>
      </c>
      <c r="H52" s="31">
        <v>0</v>
      </c>
      <c r="I52" s="31">
        <f>C66</f>
        <v>100000</v>
      </c>
      <c r="J52" s="31">
        <f>SUM(G52:I52)</f>
        <v>100000</v>
      </c>
      <c r="K52" s="23">
        <f t="shared" si="8"/>
        <v>100000</v>
      </c>
    </row>
    <row r="53" spans="2:11" x14ac:dyDescent="0.3">
      <c r="B53" s="24" t="s">
        <v>30</v>
      </c>
      <c r="C53" s="25">
        <f>C41+C47</f>
        <v>2098450.3491666666</v>
      </c>
      <c r="D53" s="25">
        <f>D41+D47</f>
        <v>2098450.3491666666</v>
      </c>
      <c r="E53" s="25">
        <f>E41+E47</f>
        <v>2098450.3491666666</v>
      </c>
      <c r="F53" s="25">
        <f>F41+F47+F52</f>
        <v>6295351.0474999994</v>
      </c>
      <c r="G53" s="25">
        <f>G41+G47</f>
        <v>2098450.3491666666</v>
      </c>
      <c r="H53" s="25">
        <f>H41+H47</f>
        <v>2098450.3491666666</v>
      </c>
      <c r="I53" s="25">
        <f>I41+I47+I52</f>
        <v>2198450.3491666666</v>
      </c>
      <c r="J53" s="25">
        <f>J41+J47+J52</f>
        <v>6395351.0474999994</v>
      </c>
      <c r="K53" s="23">
        <f t="shared" si="8"/>
        <v>25281404.189999998</v>
      </c>
    </row>
    <row r="54" spans="2:11" ht="19.5" thickBot="1" x14ac:dyDescent="0.35">
      <c r="B54" s="26" t="s">
        <v>17</v>
      </c>
      <c r="C54" s="27">
        <f t="shared" ref="C54:K54" si="9">C53/$K$53</f>
        <v>8.3003710292195873E-2</v>
      </c>
      <c r="D54" s="27">
        <f t="shared" si="9"/>
        <v>8.3003710292195873E-2</v>
      </c>
      <c r="E54" s="27">
        <f t="shared" si="9"/>
        <v>8.3003710292195873E-2</v>
      </c>
      <c r="F54" s="59">
        <f t="shared" si="9"/>
        <v>0.24901113087658761</v>
      </c>
      <c r="G54" s="27">
        <f t="shared" si="9"/>
        <v>8.3003710292195873E-2</v>
      </c>
      <c r="H54" s="27">
        <f t="shared" si="9"/>
        <v>8.3003710292195873E-2</v>
      </c>
      <c r="I54" s="27">
        <f t="shared" si="9"/>
        <v>8.6959186785845494E-2</v>
      </c>
      <c r="J54" s="59">
        <f t="shared" si="9"/>
        <v>0.25296660737023724</v>
      </c>
      <c r="K54" s="61">
        <f t="shared" si="9"/>
        <v>1</v>
      </c>
    </row>
    <row r="55" spans="2:11" ht="20.25" thickTop="1" thickBot="1" x14ac:dyDescent="0.35">
      <c r="B55" s="34" t="s">
        <v>31</v>
      </c>
      <c r="C55" s="35">
        <f>(I32+C39)-C53</f>
        <v>4471623.7914343309</v>
      </c>
      <c r="D55" s="35">
        <f>(C55+D39)-D53</f>
        <v>3806629.0598406647</v>
      </c>
      <c r="E55" s="35">
        <f>(D55+E39)-E53</f>
        <v>2967192.6393359979</v>
      </c>
      <c r="F55" s="35">
        <v>0</v>
      </c>
      <c r="G55" s="35">
        <f>(E55+G39)-G53</f>
        <v>2059496.4275183314</v>
      </c>
      <c r="H55" s="35">
        <f>(G55+H39)-H53</f>
        <v>1063315.301035665</v>
      </c>
      <c r="I55" s="35">
        <f>(H55+I39)-I53</f>
        <v>2528.1404189984314</v>
      </c>
      <c r="J55" s="35">
        <v>0</v>
      </c>
      <c r="K55" s="36">
        <f>SUM(J55,F55,J32,F32)</f>
        <v>0</v>
      </c>
    </row>
    <row r="56" spans="2:11" ht="19.5" thickTop="1" x14ac:dyDescent="0.3">
      <c r="B56" s="43"/>
      <c r="C56" s="43"/>
      <c r="D56" s="43"/>
      <c r="E56" s="43"/>
      <c r="F56" s="3"/>
      <c r="G56" s="3"/>
      <c r="H56" s="3"/>
      <c r="I56" s="3"/>
      <c r="J56" s="3"/>
      <c r="K56" s="3"/>
    </row>
    <row r="57" spans="2:11" x14ac:dyDescent="0.3">
      <c r="B57" s="43"/>
      <c r="C57" s="44"/>
      <c r="D57" s="44"/>
      <c r="E57" s="44"/>
      <c r="K57" s="46">
        <f>K37-K53</f>
        <v>2528.1404190026224</v>
      </c>
    </row>
    <row r="58" spans="2:11" x14ac:dyDescent="0.3">
      <c r="B58" s="48" t="s">
        <v>19</v>
      </c>
      <c r="C58" s="49">
        <v>7324600.79</v>
      </c>
      <c r="D58" s="50">
        <f>C58-K42</f>
        <v>0</v>
      </c>
      <c r="E58" s="44"/>
    </row>
    <row r="59" spans="2:11" x14ac:dyDescent="0.3">
      <c r="B59" s="48" t="s">
        <v>20</v>
      </c>
      <c r="C59" s="51">
        <v>0</v>
      </c>
      <c r="D59" s="50"/>
      <c r="E59" s="44"/>
    </row>
    <row r="60" spans="2:11" x14ac:dyDescent="0.3">
      <c r="B60" s="48" t="s">
        <v>21</v>
      </c>
      <c r="C60" s="49">
        <v>630370.65</v>
      </c>
      <c r="D60" s="50">
        <f>C60-K44</f>
        <v>0</v>
      </c>
      <c r="E60" s="44"/>
    </row>
    <row r="61" spans="2:11" x14ac:dyDescent="0.3">
      <c r="B61" s="48" t="s">
        <v>22</v>
      </c>
      <c r="C61" s="49">
        <v>292813.15999999997</v>
      </c>
      <c r="D61" s="50">
        <f>C61-K45</f>
        <v>0</v>
      </c>
      <c r="E61" s="44"/>
      <c r="K61" s="45"/>
    </row>
    <row r="62" spans="2:11" x14ac:dyDescent="0.3">
      <c r="B62" s="48" t="s">
        <v>23</v>
      </c>
      <c r="C62" s="52">
        <f>17396059.9-(C60+C61)</f>
        <v>16472876.089999998</v>
      </c>
      <c r="D62" s="50">
        <f>C62-K46</f>
        <v>0</v>
      </c>
      <c r="E62" s="44"/>
    </row>
    <row r="63" spans="2:11" x14ac:dyDescent="0.3">
      <c r="B63" s="48" t="s">
        <v>26</v>
      </c>
      <c r="C63" s="49">
        <v>139500</v>
      </c>
      <c r="D63" s="50">
        <f>C63-K49</f>
        <v>0</v>
      </c>
      <c r="E63" s="44"/>
    </row>
    <row r="64" spans="2:11" x14ac:dyDescent="0.3">
      <c r="B64" s="48" t="s">
        <v>27</v>
      </c>
      <c r="C64" s="49">
        <v>321243.5</v>
      </c>
      <c r="D64" s="50">
        <f>C64-K50</f>
        <v>0</v>
      </c>
      <c r="E64" s="44"/>
    </row>
    <row r="65" spans="2:5" x14ac:dyDescent="0.3">
      <c r="B65" s="48" t="s">
        <v>28</v>
      </c>
      <c r="C65" s="52">
        <v>0</v>
      </c>
      <c r="D65" s="50"/>
      <c r="E65" s="44"/>
    </row>
    <row r="66" spans="2:5" x14ac:dyDescent="0.3">
      <c r="B66" s="53" t="s">
        <v>29</v>
      </c>
      <c r="C66" s="49">
        <v>100000</v>
      </c>
      <c r="D66" s="50">
        <f>C66-K52</f>
        <v>0</v>
      </c>
      <c r="E66" s="44"/>
    </row>
    <row r="67" spans="2:5" x14ac:dyDescent="0.3">
      <c r="B67" s="54"/>
      <c r="C67" s="55"/>
      <c r="D67" s="50"/>
      <c r="E67" s="44"/>
    </row>
    <row r="68" spans="2:5" x14ac:dyDescent="0.3">
      <c r="B68" s="54"/>
      <c r="C68" s="56">
        <f>SUM(C58:C67)</f>
        <v>25281404.189999998</v>
      </c>
      <c r="D68" s="50"/>
      <c r="E68" s="44"/>
    </row>
    <row r="69" spans="2:5" x14ac:dyDescent="0.3">
      <c r="B69" s="54"/>
      <c r="C69" s="54"/>
      <c r="D69" s="50"/>
      <c r="E69" s="44"/>
    </row>
    <row r="70" spans="2:5" x14ac:dyDescent="0.3">
      <c r="B70" s="50"/>
      <c r="C70" s="57">
        <v>25281404.190000001</v>
      </c>
      <c r="D70" s="50"/>
      <c r="E70" s="44"/>
    </row>
    <row r="71" spans="2:5" x14ac:dyDescent="0.3">
      <c r="B71" s="50"/>
      <c r="C71" s="50"/>
      <c r="D71" s="50"/>
      <c r="E71" s="44"/>
    </row>
    <row r="72" spans="2:5" x14ac:dyDescent="0.3">
      <c r="B72" s="50"/>
      <c r="C72" s="50"/>
      <c r="D72" s="50"/>
      <c r="E72" s="44"/>
    </row>
    <row r="73" spans="2:5" x14ac:dyDescent="0.3">
      <c r="B73" s="50"/>
      <c r="C73" s="58">
        <f>C68-C70</f>
        <v>0</v>
      </c>
      <c r="D73" s="50"/>
      <c r="E73" s="44"/>
    </row>
    <row r="74" spans="2:5" x14ac:dyDescent="0.3">
      <c r="B74" s="44"/>
      <c r="C74" s="44"/>
      <c r="D74" s="44"/>
      <c r="E74" s="44"/>
    </row>
    <row r="75" spans="2:5" x14ac:dyDescent="0.3">
      <c r="B75" s="44"/>
      <c r="C75" s="44"/>
      <c r="D75" s="44"/>
      <c r="E75" s="44"/>
    </row>
    <row r="76" spans="2:5" x14ac:dyDescent="0.3">
      <c r="B76" s="44"/>
      <c r="C76" s="44"/>
      <c r="D76" s="44"/>
      <c r="E76" s="44"/>
    </row>
    <row r="77" spans="2:5" x14ac:dyDescent="0.3">
      <c r="B77" s="44"/>
      <c r="C77" s="44"/>
      <c r="D77" s="44"/>
      <c r="E77" s="44"/>
    </row>
    <row r="78" spans="2:5" x14ac:dyDescent="0.3">
      <c r="B78" s="44"/>
      <c r="C78" s="44"/>
      <c r="D78" s="44"/>
      <c r="E78" s="44"/>
    </row>
    <row r="79" spans="2:5" x14ac:dyDescent="0.3">
      <c r="B79" s="44"/>
      <c r="C79" s="44"/>
      <c r="D79" s="44"/>
      <c r="E79" s="44"/>
    </row>
    <row r="80" spans="2:5" x14ac:dyDescent="0.3">
      <c r="B80" s="44"/>
      <c r="C80" s="44"/>
      <c r="D80" s="44"/>
      <c r="E80" s="44"/>
    </row>
    <row r="81" spans="2:5" x14ac:dyDescent="0.3">
      <c r="B81" s="44"/>
      <c r="C81" s="44"/>
      <c r="D81" s="44"/>
      <c r="E81" s="44"/>
    </row>
    <row r="82" spans="2:5" x14ac:dyDescent="0.3">
      <c r="B82" s="44"/>
      <c r="C82" s="44"/>
      <c r="D82" s="44"/>
      <c r="E82" s="44"/>
    </row>
  </sheetData>
  <mergeCells count="4">
    <mergeCell ref="T6:U6"/>
    <mergeCell ref="C8:I8"/>
    <mergeCell ref="C12:K12"/>
    <mergeCell ref="C35:K35"/>
  </mergeCells>
  <dataValidations count="1">
    <dataValidation allowBlank="1" showInputMessage="1" showErrorMessage="1" promptTitle="Não Preencher!" prompt="Cálculo Automático" sqref="F14:F16 J14:K16 C18:K19 F20:F27 J20:K23 C24:E25 G24:K25 J26:K28 C29:K29 K30 C32:K32 F37:F39 J37:K39 C41:K42 F43:F52 J43:K46 C47:E48 G47:K48 J49:K50 K51:K53 C52:E52 G52:J52 C55:K55">
      <formula1>0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K82"/>
  <sheetViews>
    <sheetView showGridLines="0" topLeftCell="B1" zoomScale="60" zoomScaleNormal="60" workbookViewId="0">
      <selection activeCell="C9" sqref="C9"/>
    </sheetView>
  </sheetViews>
  <sheetFormatPr defaultRowHeight="18.75" x14ac:dyDescent="0.3"/>
  <cols>
    <col min="1" max="1" width="3" style="66" customWidth="1"/>
    <col min="2" max="2" width="76.28515625" style="66" customWidth="1"/>
    <col min="3" max="10" width="22.7109375" style="66" customWidth="1"/>
    <col min="11" max="11" width="27.140625" style="66" customWidth="1"/>
    <col min="12" max="19" width="22.7109375" style="66" customWidth="1"/>
    <col min="20" max="20" width="16.140625" style="66" customWidth="1"/>
    <col min="21" max="21" width="14.5703125" style="66" customWidth="1"/>
    <col min="22" max="22" width="17" style="66" customWidth="1"/>
    <col min="23" max="23" width="14.42578125" style="67" customWidth="1"/>
    <col min="24" max="1025" width="9.140625" style="66" customWidth="1"/>
    <col min="1026" max="16384" width="9.140625" style="65"/>
  </cols>
  <sheetData>
    <row r="1" spans="1:23" x14ac:dyDescent="0.3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108"/>
    </row>
    <row r="2" spans="1:23" ht="12.75" customHeight="1" x14ac:dyDescent="0.3">
      <c r="A2" s="82"/>
      <c r="B2" s="82"/>
      <c r="C2" s="82" t="s">
        <v>0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V2" s="129"/>
      <c r="W2" s="108"/>
    </row>
    <row r="3" spans="1:23" ht="12.7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127"/>
      <c r="U3" s="127"/>
      <c r="W3" s="108"/>
    </row>
    <row r="4" spans="1:23" ht="12.75" customHeight="1" x14ac:dyDescent="0.3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127"/>
      <c r="U4" s="127"/>
      <c r="W4" s="108"/>
    </row>
    <row r="5" spans="1:23" ht="12.7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127"/>
      <c r="U5" s="127"/>
      <c r="W5" s="108"/>
    </row>
    <row r="6" spans="1:23" ht="12.75" customHeight="1" x14ac:dyDescent="0.3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128"/>
      <c r="U6" s="128"/>
      <c r="V6" s="127"/>
      <c r="W6" s="108"/>
    </row>
    <row r="7" spans="1:23" ht="13.15" customHeight="1" x14ac:dyDescent="0.3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108"/>
    </row>
    <row r="8" spans="1:23" ht="31.5" customHeight="1" x14ac:dyDescent="0.3">
      <c r="A8" s="82"/>
      <c r="B8" s="125" t="s">
        <v>1</v>
      </c>
      <c r="C8" s="126" t="s">
        <v>42</v>
      </c>
      <c r="D8" s="126"/>
      <c r="E8" s="126"/>
      <c r="F8" s="126"/>
      <c r="G8" s="126"/>
      <c r="H8" s="126"/>
      <c r="I8" s="126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4"/>
      <c r="W8" s="108"/>
    </row>
    <row r="9" spans="1:23" ht="19.5" customHeight="1" x14ac:dyDescent="0.3">
      <c r="A9" s="82"/>
      <c r="B9" s="123" t="s">
        <v>41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2"/>
      <c r="W9" s="108"/>
    </row>
    <row r="10" spans="1:23" ht="13.15" customHeight="1" x14ac:dyDescent="0.3">
      <c r="A10" s="82"/>
      <c r="B10" s="83"/>
      <c r="C10" s="83"/>
      <c r="D10" s="83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108"/>
    </row>
    <row r="11" spans="1:23" ht="19.5" thickBot="1" x14ac:dyDescent="0.35">
      <c r="A11" s="82"/>
      <c r="B11" s="121">
        <v>36822404.189999998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19"/>
      <c r="V11" s="118"/>
      <c r="W11" s="108"/>
    </row>
    <row r="12" spans="1:23" s="66" customFormat="1" ht="18.75" customHeight="1" thickTop="1" x14ac:dyDescent="0.3">
      <c r="A12" s="82"/>
      <c r="B12" s="107" t="s">
        <v>2</v>
      </c>
      <c r="C12" s="106" t="s">
        <v>3</v>
      </c>
      <c r="D12" s="106"/>
      <c r="E12" s="106"/>
      <c r="F12" s="106"/>
      <c r="G12" s="106"/>
      <c r="H12" s="106"/>
      <c r="I12" s="106"/>
      <c r="J12" s="106"/>
      <c r="K12" s="106"/>
    </row>
    <row r="13" spans="1:23" s="66" customFormat="1" x14ac:dyDescent="0.3">
      <c r="A13" s="82"/>
      <c r="B13" s="105" t="s">
        <v>4</v>
      </c>
      <c r="C13" s="117" t="s">
        <v>5</v>
      </c>
      <c r="D13" s="104" t="s">
        <v>6</v>
      </c>
      <c r="E13" s="104" t="s">
        <v>7</v>
      </c>
      <c r="F13" s="104" t="s">
        <v>8</v>
      </c>
      <c r="G13" s="104" t="s">
        <v>9</v>
      </c>
      <c r="H13" s="104" t="s">
        <v>10</v>
      </c>
      <c r="I13" s="104" t="s">
        <v>11</v>
      </c>
      <c r="J13" s="104" t="s">
        <v>12</v>
      </c>
      <c r="K13" s="103" t="s">
        <v>13</v>
      </c>
    </row>
    <row r="14" spans="1:23" s="66" customFormat="1" x14ac:dyDescent="0.3">
      <c r="A14" s="82"/>
      <c r="B14" s="97" t="s">
        <v>14</v>
      </c>
      <c r="C14" s="116">
        <f>B11*25.21%</f>
        <v>9282928.0962989982</v>
      </c>
      <c r="D14" s="116">
        <f>B11*10.78%</f>
        <v>3969455.1716819997</v>
      </c>
      <c r="E14" s="116">
        <f>B11*15.05%</f>
        <v>5541771.8305949997</v>
      </c>
      <c r="F14" s="99">
        <f>SUM(C14:E14)</f>
        <v>18794155.098575998</v>
      </c>
      <c r="G14" s="96">
        <f>B11*6.71%</f>
        <v>2470783.3211489995</v>
      </c>
      <c r="H14" s="96">
        <f>B11*6.22%</f>
        <v>2290353.5406179996</v>
      </c>
      <c r="I14" s="96">
        <f>B11*5.84%</f>
        <v>2150428.4046959998</v>
      </c>
      <c r="J14" s="99">
        <f>SUM(G14:I14)</f>
        <v>6911565.2664629994</v>
      </c>
      <c r="K14" s="91">
        <f>SUM(J14,F14)</f>
        <v>25705720.365038998</v>
      </c>
    </row>
    <row r="15" spans="1:23" s="66" customFormat="1" x14ac:dyDescent="0.3">
      <c r="A15" s="82"/>
      <c r="B15" s="97" t="s">
        <v>15</v>
      </c>
      <c r="C15" s="116">
        <v>0</v>
      </c>
      <c r="D15" s="116">
        <v>0</v>
      </c>
      <c r="E15" s="116">
        <v>0</v>
      </c>
      <c r="F15" s="99">
        <f>SUM(C15:E15)</f>
        <v>0</v>
      </c>
      <c r="G15" s="96">
        <v>0</v>
      </c>
      <c r="H15" s="96">
        <v>0</v>
      </c>
      <c r="I15" s="96">
        <v>0</v>
      </c>
      <c r="J15" s="99">
        <f>SUM(G15:I15)</f>
        <v>0</v>
      </c>
      <c r="K15" s="91">
        <f>SUM(J15,F15)</f>
        <v>0</v>
      </c>
    </row>
    <row r="16" spans="1:23" s="66" customFormat="1" x14ac:dyDescent="0.3">
      <c r="A16" s="82"/>
      <c r="B16" s="93" t="s">
        <v>16</v>
      </c>
      <c r="C16" s="92">
        <f>SUM(C14:C15)</f>
        <v>9282928.0962989982</v>
      </c>
      <c r="D16" s="92">
        <f>SUM(D14:D15)</f>
        <v>3969455.1716819997</v>
      </c>
      <c r="E16" s="92">
        <f>SUM(E14:E15)</f>
        <v>5541771.8305949997</v>
      </c>
      <c r="F16" s="99">
        <f>SUM(C16:E16)</f>
        <v>18794155.098575998</v>
      </c>
      <c r="G16" s="92">
        <f>SUM(G14:G15)</f>
        <v>2470783.3211489995</v>
      </c>
      <c r="H16" s="92">
        <f>SUM(H14:H15)</f>
        <v>2290353.5406179996</v>
      </c>
      <c r="I16" s="92">
        <f>SUM(I14:I15)</f>
        <v>2150428.4046959998</v>
      </c>
      <c r="J16" s="99">
        <f>SUM(G16:I16)</f>
        <v>6911565.2664629994</v>
      </c>
      <c r="K16" s="91">
        <f>F16+J16</f>
        <v>25705720.365038998</v>
      </c>
    </row>
    <row r="17" spans="1:11" s="111" customFormat="1" x14ac:dyDescent="0.3">
      <c r="A17" s="82"/>
      <c r="B17" s="90" t="s">
        <v>17</v>
      </c>
      <c r="C17" s="89">
        <f>C16/$K$39</f>
        <v>0.25209999998720412</v>
      </c>
      <c r="D17" s="89">
        <f>D16/$K$39</f>
        <v>0.10779999999452838</v>
      </c>
      <c r="E17" s="89">
        <f>E16/$K$39</f>
        <v>0.15049999999236105</v>
      </c>
      <c r="F17" s="88">
        <f>F16/$K$39</f>
        <v>0.51039999997409358</v>
      </c>
      <c r="G17" s="89">
        <f>G16/$K$39</f>
        <v>6.709999999659419E-2</v>
      </c>
      <c r="H17" s="89">
        <f>H16/$K$39</f>
        <v>6.2199999996842899E-2</v>
      </c>
      <c r="I17" s="89">
        <f>I16/$K$39</f>
        <v>5.8399999997035781E-2</v>
      </c>
      <c r="J17" s="88">
        <f>J16/$K$39</f>
        <v>0.18769999999047288</v>
      </c>
      <c r="K17" s="115">
        <f>K16/$K$39</f>
        <v>0.6980999999645664</v>
      </c>
    </row>
    <row r="18" spans="1:11" s="66" customFormat="1" ht="24.95" customHeight="1" x14ac:dyDescent="0.3">
      <c r="A18" s="82"/>
      <c r="B18" s="95" t="s">
        <v>18</v>
      </c>
      <c r="C18" s="99">
        <f>C19+C20+C21+C22+C23</f>
        <v>2722901.5575000001</v>
      </c>
      <c r="D18" s="99">
        <f>D19+D20+D21+D22+D23</f>
        <v>2722901.5575000001</v>
      </c>
      <c r="E18" s="99">
        <f>E19+E20+E21+E22+E23</f>
        <v>2722901.5575000001</v>
      </c>
      <c r="F18" s="99">
        <f>SUM(C18:E18)</f>
        <v>8168704.6725000003</v>
      </c>
      <c r="G18" s="99">
        <f>G19+G20+G21+G22+G23</f>
        <v>2722901.5575000001</v>
      </c>
      <c r="H18" s="99">
        <f>H19+H20+H21+H22+H23</f>
        <v>2722901.5575000001</v>
      </c>
      <c r="I18" s="99">
        <f>I19+I20+I21+I22+I23</f>
        <v>2722901.5575000001</v>
      </c>
      <c r="J18" s="99">
        <f>SUM(G18:I18)</f>
        <v>8168704.6725000003</v>
      </c>
      <c r="K18" s="91">
        <f>SUM(J18,F18,)</f>
        <v>16337409.345000001</v>
      </c>
    </row>
    <row r="19" spans="1:11" s="66" customFormat="1" ht="20.100000000000001" customHeight="1" x14ac:dyDescent="0.3">
      <c r="A19" s="82"/>
      <c r="B19" s="97" t="s">
        <v>19</v>
      </c>
      <c r="C19" s="96">
        <f>C58/12</f>
        <v>778896.33000000007</v>
      </c>
      <c r="D19" s="96">
        <f>C58/12</f>
        <v>778896.33000000007</v>
      </c>
      <c r="E19" s="96">
        <f>C58/12</f>
        <v>778896.33000000007</v>
      </c>
      <c r="F19" s="94">
        <f>SUM(C19:E19)</f>
        <v>2336688.9900000002</v>
      </c>
      <c r="G19" s="96">
        <f>$E$19</f>
        <v>778896.33000000007</v>
      </c>
      <c r="H19" s="96">
        <f>$E$19</f>
        <v>778896.33000000007</v>
      </c>
      <c r="I19" s="96">
        <f>$E$19</f>
        <v>778896.33000000007</v>
      </c>
      <c r="J19" s="96">
        <f>SUM(G19:I19)</f>
        <v>2336688.9900000002</v>
      </c>
      <c r="K19" s="98">
        <f>SUM(J19,F19,)</f>
        <v>4673377.9800000004</v>
      </c>
    </row>
    <row r="20" spans="1:11" s="66" customFormat="1" ht="20.100000000000001" customHeight="1" x14ac:dyDescent="0.3">
      <c r="A20" s="82"/>
      <c r="B20" s="97" t="s">
        <v>20</v>
      </c>
      <c r="C20" s="96">
        <f>C59/12</f>
        <v>0</v>
      </c>
      <c r="D20" s="96">
        <f>$C$20</f>
        <v>0</v>
      </c>
      <c r="E20" s="96">
        <f>$C$20</f>
        <v>0</v>
      </c>
      <c r="F20" s="94">
        <f>SUM(C20:E20)</f>
        <v>0</v>
      </c>
      <c r="G20" s="96">
        <f>$C$20</f>
        <v>0</v>
      </c>
      <c r="H20" s="96">
        <f>$C$20</f>
        <v>0</v>
      </c>
      <c r="I20" s="96">
        <f>$C$20</f>
        <v>0</v>
      </c>
      <c r="J20" s="96">
        <f>SUM(G20:I20)</f>
        <v>0</v>
      </c>
      <c r="K20" s="91">
        <f>SUM(J20,F20,)</f>
        <v>0</v>
      </c>
    </row>
    <row r="21" spans="1:11" s="66" customFormat="1" ht="20.100000000000001" customHeight="1" x14ac:dyDescent="0.3">
      <c r="A21" s="82"/>
      <c r="B21" s="97" t="s">
        <v>21</v>
      </c>
      <c r="C21" s="96">
        <f>C60/12</f>
        <v>45752.137500000004</v>
      </c>
      <c r="D21" s="96">
        <f>$C$21</f>
        <v>45752.137500000004</v>
      </c>
      <c r="E21" s="96">
        <f>$C$21</f>
        <v>45752.137500000004</v>
      </c>
      <c r="F21" s="94">
        <f>SUM(C21:E21)</f>
        <v>137256.41250000001</v>
      </c>
      <c r="G21" s="96">
        <f>$C$21</f>
        <v>45752.137500000004</v>
      </c>
      <c r="H21" s="96">
        <f>$C$21</f>
        <v>45752.137500000004</v>
      </c>
      <c r="I21" s="96">
        <f>$C$21</f>
        <v>45752.137500000004</v>
      </c>
      <c r="J21" s="96">
        <f>SUM(G21:I21)</f>
        <v>137256.41250000001</v>
      </c>
      <c r="K21" s="91">
        <f>SUM(J21,F21,)</f>
        <v>274512.82500000001</v>
      </c>
    </row>
    <row r="22" spans="1:11" s="66" customFormat="1" ht="20.100000000000001" customHeight="1" x14ac:dyDescent="0.3">
      <c r="B22" s="97" t="s">
        <v>22</v>
      </c>
      <c r="C22" s="96">
        <f>C61/12</f>
        <v>25609.429999999997</v>
      </c>
      <c r="D22" s="96">
        <f>$C$22</f>
        <v>25609.429999999997</v>
      </c>
      <c r="E22" s="96">
        <f>$C$22</f>
        <v>25609.429999999997</v>
      </c>
      <c r="F22" s="94">
        <f>SUM(C22:E22)</f>
        <v>76828.289999999994</v>
      </c>
      <c r="G22" s="96">
        <f>$C$22</f>
        <v>25609.429999999997</v>
      </c>
      <c r="H22" s="96">
        <f>$C$22</f>
        <v>25609.429999999997</v>
      </c>
      <c r="I22" s="96">
        <f>$C$22</f>
        <v>25609.429999999997</v>
      </c>
      <c r="J22" s="96">
        <f>SUM(G22:I22)</f>
        <v>76828.289999999994</v>
      </c>
      <c r="K22" s="91">
        <f>SUM(J22,F22,)</f>
        <v>153656.57999999999</v>
      </c>
    </row>
    <row r="23" spans="1:11" s="66" customFormat="1" ht="20.100000000000001" customHeight="1" x14ac:dyDescent="0.3">
      <c r="B23" s="97" t="s">
        <v>23</v>
      </c>
      <c r="C23" s="96">
        <f>C62/12</f>
        <v>1872643.6600000001</v>
      </c>
      <c r="D23" s="96">
        <f>$C$23</f>
        <v>1872643.6600000001</v>
      </c>
      <c r="E23" s="96">
        <f>$C$23</f>
        <v>1872643.6600000001</v>
      </c>
      <c r="F23" s="94">
        <f>SUM(C23:E23)</f>
        <v>5617930.9800000004</v>
      </c>
      <c r="G23" s="96">
        <f>$C$23</f>
        <v>1872643.6600000001</v>
      </c>
      <c r="H23" s="96">
        <f>$C$23</f>
        <v>1872643.6600000001</v>
      </c>
      <c r="I23" s="96">
        <f>$C$23</f>
        <v>1872643.6600000001</v>
      </c>
      <c r="J23" s="96">
        <f>SUM(G23:I23)</f>
        <v>5617930.9800000004</v>
      </c>
      <c r="K23" s="91">
        <f>SUM(J23,F23)</f>
        <v>11235861.960000001</v>
      </c>
    </row>
    <row r="24" spans="1:11" s="66" customFormat="1" ht="24.95" customHeight="1" x14ac:dyDescent="0.3">
      <c r="A24" s="82"/>
      <c r="B24" s="95" t="s">
        <v>24</v>
      </c>
      <c r="C24" s="94">
        <f>C25+C28</f>
        <v>105061.95833333333</v>
      </c>
      <c r="D24" s="94">
        <f>D25</f>
        <v>105061.95833333333</v>
      </c>
      <c r="E24" s="94">
        <f>E25</f>
        <v>105061.95833333333</v>
      </c>
      <c r="F24" s="94">
        <f>SUM(C24:E24)</f>
        <v>315185.875</v>
      </c>
      <c r="G24" s="94">
        <f>G25</f>
        <v>105061.95833333333</v>
      </c>
      <c r="H24" s="94">
        <f>H25</f>
        <v>105061.95833333333</v>
      </c>
      <c r="I24" s="94">
        <f>I25</f>
        <v>105061.95833333333</v>
      </c>
      <c r="J24" s="94">
        <f>SUM(G24:I24)</f>
        <v>315185.875</v>
      </c>
      <c r="K24" s="91">
        <f>SUM(J24,F24,)</f>
        <v>630371.75</v>
      </c>
    </row>
    <row r="25" spans="1:11" s="66" customFormat="1" ht="20.100000000000001" customHeight="1" x14ac:dyDescent="0.3">
      <c r="A25" s="82"/>
      <c r="B25" s="97" t="s">
        <v>25</v>
      </c>
      <c r="C25" s="96">
        <f>SUM(C26:C27)</f>
        <v>105061.95833333333</v>
      </c>
      <c r="D25" s="96">
        <f>SUM(D26:D28)</f>
        <v>105061.95833333333</v>
      </c>
      <c r="E25" s="96">
        <f>SUM(E26:E28)</f>
        <v>105061.95833333333</v>
      </c>
      <c r="F25" s="96">
        <f>SUM(C25:E25)</f>
        <v>315185.875</v>
      </c>
      <c r="G25" s="96">
        <f>SUM(G26:G28)</f>
        <v>105061.95833333333</v>
      </c>
      <c r="H25" s="96">
        <f>SUM(H26:H28)</f>
        <v>105061.95833333333</v>
      </c>
      <c r="I25" s="96">
        <f>SUM(I26:I28)</f>
        <v>105061.95833333333</v>
      </c>
      <c r="J25" s="96">
        <f>SUM(G25:I25)</f>
        <v>315185.875</v>
      </c>
      <c r="K25" s="98">
        <f>SUM(J25,F25)</f>
        <v>630371.75</v>
      </c>
    </row>
    <row r="26" spans="1:11" s="66" customFormat="1" ht="20.100000000000001" customHeight="1" x14ac:dyDescent="0.3">
      <c r="B26" s="97" t="s">
        <v>26</v>
      </c>
      <c r="C26" s="96">
        <f>C63/12</f>
        <v>11625</v>
      </c>
      <c r="D26" s="96">
        <f>$C$26</f>
        <v>11625</v>
      </c>
      <c r="E26" s="96">
        <f>$C$26</f>
        <v>11625</v>
      </c>
      <c r="F26" s="96">
        <f>SUM(C26:E26)</f>
        <v>34875</v>
      </c>
      <c r="G26" s="96">
        <f>$C$26</f>
        <v>11625</v>
      </c>
      <c r="H26" s="96">
        <f>$C$26</f>
        <v>11625</v>
      </c>
      <c r="I26" s="96">
        <f>$C$26</f>
        <v>11625</v>
      </c>
      <c r="J26" s="96">
        <f>SUM(G26:I26)</f>
        <v>34875</v>
      </c>
      <c r="K26" s="91">
        <f>SUM(J26,F26)</f>
        <v>69750</v>
      </c>
    </row>
    <row r="27" spans="1:11" s="66" customFormat="1" ht="20.100000000000001" customHeight="1" x14ac:dyDescent="0.3">
      <c r="B27" s="97" t="s">
        <v>27</v>
      </c>
      <c r="C27" s="96">
        <f>C64/12</f>
        <v>93436.958333333328</v>
      </c>
      <c r="D27" s="96">
        <f>$C$27</f>
        <v>93436.958333333328</v>
      </c>
      <c r="E27" s="96">
        <f>$C$27</f>
        <v>93436.958333333328</v>
      </c>
      <c r="F27" s="96">
        <f>SUM(C27:E27)</f>
        <v>280310.875</v>
      </c>
      <c r="G27" s="96">
        <f>$C$27</f>
        <v>93436.958333333328</v>
      </c>
      <c r="H27" s="96">
        <f>$C$27</f>
        <v>93436.958333333328</v>
      </c>
      <c r="I27" s="96">
        <f>$C$27</f>
        <v>93436.958333333328</v>
      </c>
      <c r="J27" s="96">
        <f>SUM(G27:I27)</f>
        <v>280310.875</v>
      </c>
      <c r="K27" s="91">
        <f>SUM(J27,F27)</f>
        <v>560621.75</v>
      </c>
    </row>
    <row r="28" spans="1:11" s="66" customFormat="1" ht="20.100000000000001" customHeight="1" x14ac:dyDescent="0.3">
      <c r="B28" s="97" t="s">
        <v>28</v>
      </c>
      <c r="C28" s="96">
        <v>0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4">
        <f>SUM(G28:I28)</f>
        <v>0</v>
      </c>
      <c r="K28" s="91">
        <f>SUM(J28,F28)</f>
        <v>0</v>
      </c>
    </row>
    <row r="29" spans="1:11" s="66" customFormat="1" ht="24.95" customHeight="1" x14ac:dyDescent="0.3">
      <c r="A29" s="82"/>
      <c r="B29" s="95" t="s">
        <v>29</v>
      </c>
      <c r="C29" s="94">
        <v>0</v>
      </c>
      <c r="D29" s="94">
        <v>0</v>
      </c>
      <c r="E29" s="94">
        <v>0</v>
      </c>
      <c r="F29" s="94">
        <f>SUM(C29:E29)</f>
        <v>0</v>
      </c>
      <c r="G29" s="94">
        <v>0</v>
      </c>
      <c r="H29" s="94">
        <v>0</v>
      </c>
      <c r="I29" s="94">
        <v>0</v>
      </c>
      <c r="J29" s="94">
        <f>SUM(G29:I29)</f>
        <v>0</v>
      </c>
      <c r="K29" s="91">
        <f>SUM(J29,F29)</f>
        <v>0</v>
      </c>
    </row>
    <row r="30" spans="1:11" s="66" customFormat="1" ht="20.100000000000001" customHeight="1" x14ac:dyDescent="0.3">
      <c r="B30" s="93" t="s">
        <v>30</v>
      </c>
      <c r="C30" s="92">
        <f>C18+C24</f>
        <v>2827963.5158333336</v>
      </c>
      <c r="D30" s="92">
        <f>D18+D24</f>
        <v>2827963.5158333336</v>
      </c>
      <c r="E30" s="92">
        <f>E18+E24</f>
        <v>2827963.5158333336</v>
      </c>
      <c r="F30" s="92">
        <f>F18+F24+F29</f>
        <v>8483890.5474999994</v>
      </c>
      <c r="G30" s="92">
        <f>G18+G24</f>
        <v>2827963.5158333336</v>
      </c>
      <c r="H30" s="92">
        <f>H18+H24</f>
        <v>2827963.5158333336</v>
      </c>
      <c r="I30" s="92">
        <f>I18+I24</f>
        <v>2827963.5158333336</v>
      </c>
      <c r="J30" s="92">
        <f>J18+J24+F29</f>
        <v>8483890.5474999994</v>
      </c>
      <c r="K30" s="91">
        <f>SUM(J30,F30)</f>
        <v>16967781.094999999</v>
      </c>
    </row>
    <row r="31" spans="1:11" s="111" customFormat="1" ht="19.5" thickBot="1" x14ac:dyDescent="0.35">
      <c r="A31" s="82"/>
      <c r="B31" s="90" t="s">
        <v>17</v>
      </c>
      <c r="C31" s="89">
        <f>C30/$K$53</f>
        <v>7.680007805143084E-2</v>
      </c>
      <c r="D31" s="89">
        <f>D30/$K$53</f>
        <v>7.680007805143084E-2</v>
      </c>
      <c r="E31" s="89">
        <f>E30/$K$53</f>
        <v>7.680007805143084E-2</v>
      </c>
      <c r="F31" s="88">
        <f>F30/$K$53</f>
        <v>0.23040023415429248</v>
      </c>
      <c r="G31" s="89">
        <f>G30/$K$53</f>
        <v>7.680007805143084E-2</v>
      </c>
      <c r="H31" s="89">
        <f>H30/$K$53</f>
        <v>7.680007805143084E-2</v>
      </c>
      <c r="I31" s="89">
        <f>I30/$K$53</f>
        <v>7.680007805143084E-2</v>
      </c>
      <c r="J31" s="88">
        <f>J30/$K$53</f>
        <v>0.23040023415429248</v>
      </c>
      <c r="K31" s="114">
        <f>K30/$K$53</f>
        <v>0.46080046830858495</v>
      </c>
    </row>
    <row r="32" spans="1:11" s="66" customFormat="1" ht="24.95" customHeight="1" thickTop="1" thickBot="1" x14ac:dyDescent="0.35">
      <c r="A32" s="82"/>
      <c r="B32" s="86" t="s">
        <v>31</v>
      </c>
      <c r="C32" s="85">
        <f>C16-C30</f>
        <v>6454964.5804656651</v>
      </c>
      <c r="D32" s="85">
        <f>(C32+D16)-D30</f>
        <v>7596456.2363143321</v>
      </c>
      <c r="E32" s="85">
        <f>(D32+E16)-E30</f>
        <v>10310264.551075999</v>
      </c>
      <c r="F32" s="85">
        <v>0</v>
      </c>
      <c r="G32" s="85">
        <f>(E32+G16)-G30</f>
        <v>9953084.3563916646</v>
      </c>
      <c r="H32" s="85">
        <f>(G32+H16)-H30</f>
        <v>9415474.3811763301</v>
      </c>
      <c r="I32" s="85">
        <f>(H32+I16)-I30</f>
        <v>8737939.2700389959</v>
      </c>
      <c r="J32" s="85">
        <v>0</v>
      </c>
      <c r="K32" s="84">
        <f>SUM(J32,F32)</f>
        <v>0</v>
      </c>
    </row>
    <row r="33" spans="1:23" s="111" customFormat="1" ht="19.5" thickTop="1" x14ac:dyDescent="0.3">
      <c r="A33" s="112"/>
      <c r="B33" s="112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2"/>
      <c r="V33" s="112"/>
      <c r="W33" s="112"/>
    </row>
    <row r="34" spans="1:23" s="66" customFormat="1" ht="19.5" thickBot="1" x14ac:dyDescent="0.35">
      <c r="A34" s="82"/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09"/>
      <c r="T34" s="82"/>
      <c r="U34" s="82"/>
      <c r="V34" s="108"/>
    </row>
    <row r="35" spans="1:23" s="66" customFormat="1" ht="19.5" thickTop="1" x14ac:dyDescent="0.3">
      <c r="A35" s="82"/>
      <c r="B35" s="107" t="s">
        <v>2</v>
      </c>
      <c r="C35" s="106" t="s">
        <v>3</v>
      </c>
      <c r="D35" s="106"/>
      <c r="E35" s="106"/>
      <c r="F35" s="106"/>
      <c r="G35" s="106"/>
      <c r="H35" s="106"/>
      <c r="I35" s="106"/>
      <c r="J35" s="106"/>
      <c r="K35" s="106"/>
      <c r="L35" s="102"/>
      <c r="M35" s="102"/>
      <c r="N35" s="102"/>
      <c r="O35" s="102"/>
      <c r="P35" s="102"/>
      <c r="Q35" s="102"/>
      <c r="R35" s="102"/>
      <c r="T35" s="82"/>
      <c r="U35" s="82"/>
      <c r="V35" s="67"/>
    </row>
    <row r="36" spans="1:23" s="66" customFormat="1" x14ac:dyDescent="0.3">
      <c r="A36" s="82"/>
      <c r="B36" s="105" t="s">
        <v>4</v>
      </c>
      <c r="C36" s="104" t="s">
        <v>32</v>
      </c>
      <c r="D36" s="104" t="s">
        <v>33</v>
      </c>
      <c r="E36" s="104" t="s">
        <v>34</v>
      </c>
      <c r="F36" s="104" t="s">
        <v>35</v>
      </c>
      <c r="G36" s="104" t="s">
        <v>36</v>
      </c>
      <c r="H36" s="104" t="s">
        <v>37</v>
      </c>
      <c r="I36" s="104" t="s">
        <v>38</v>
      </c>
      <c r="J36" s="104" t="s">
        <v>39</v>
      </c>
      <c r="K36" s="103" t="s">
        <v>40</v>
      </c>
      <c r="L36" s="102"/>
      <c r="M36" s="102"/>
      <c r="N36" s="102"/>
      <c r="O36" s="102"/>
      <c r="P36" s="102"/>
      <c r="Q36" s="102"/>
      <c r="R36" s="102"/>
      <c r="T36" s="82"/>
      <c r="U36" s="82"/>
      <c r="V36" s="67"/>
    </row>
    <row r="37" spans="1:23" s="66" customFormat="1" x14ac:dyDescent="0.3">
      <c r="A37" s="82"/>
      <c r="B37" s="97" t="s">
        <v>14</v>
      </c>
      <c r="C37" s="96">
        <f>B11*5.98%</f>
        <v>2201979.7705620001</v>
      </c>
      <c r="D37" s="96">
        <f>B11*5.67%</f>
        <v>2087830.317573</v>
      </c>
      <c r="E37" s="96">
        <f>B11*4.98%</f>
        <v>1833755.728662</v>
      </c>
      <c r="F37" s="99">
        <f>SUM(C37:E37)</f>
        <v>6123565.8167970004</v>
      </c>
      <c r="G37" s="96">
        <f>B11*4.71%</f>
        <v>1734335.2373490001</v>
      </c>
      <c r="H37" s="96">
        <f>B11*4.36%</f>
        <v>1605456.8226839998</v>
      </c>
      <c r="I37" s="96">
        <v>1653325.95</v>
      </c>
      <c r="J37" s="99">
        <f>SUM(G37:I37)</f>
        <v>4993118.0100330003</v>
      </c>
      <c r="K37" s="91">
        <f>SUM(J37,F37,J14,F14)</f>
        <v>36822404.191868998</v>
      </c>
      <c r="L37" s="102"/>
      <c r="M37" s="102"/>
      <c r="N37" s="102"/>
      <c r="O37" s="102"/>
      <c r="P37" s="102"/>
      <c r="Q37" s="102"/>
      <c r="R37" s="102"/>
      <c r="T37" s="82"/>
      <c r="U37" s="82"/>
      <c r="V37" s="67"/>
    </row>
    <row r="38" spans="1:23" s="66" customFormat="1" x14ac:dyDescent="0.3">
      <c r="B38" s="97" t="s">
        <v>15</v>
      </c>
      <c r="C38" s="96">
        <v>0</v>
      </c>
      <c r="D38" s="96">
        <v>0</v>
      </c>
      <c r="E38" s="96">
        <v>0</v>
      </c>
      <c r="F38" s="99">
        <f>SUM(C38:E38)</f>
        <v>0</v>
      </c>
      <c r="G38" s="96">
        <v>0</v>
      </c>
      <c r="H38" s="96">
        <v>0</v>
      </c>
      <c r="I38" s="96">
        <v>0</v>
      </c>
      <c r="J38" s="99">
        <f>SUM(G38:I38)</f>
        <v>0</v>
      </c>
      <c r="K38" s="91">
        <f>SUM(J38,F38,J15,F15)</f>
        <v>0</v>
      </c>
      <c r="L38" s="102"/>
      <c r="M38" s="102"/>
      <c r="N38" s="102"/>
      <c r="O38" s="102"/>
      <c r="P38" s="102"/>
      <c r="Q38" s="102"/>
      <c r="R38" s="102"/>
      <c r="T38" s="82"/>
      <c r="U38" s="82"/>
      <c r="V38" s="67"/>
    </row>
    <row r="39" spans="1:23" x14ac:dyDescent="0.3">
      <c r="B39" s="93" t="s">
        <v>16</v>
      </c>
      <c r="C39" s="92">
        <f>SUM(C37:C38)</f>
        <v>2201979.7705620001</v>
      </c>
      <c r="D39" s="92">
        <f>SUM(D37:D38)</f>
        <v>2087830.317573</v>
      </c>
      <c r="E39" s="92">
        <f>SUM(E37:E38)</f>
        <v>1833755.728662</v>
      </c>
      <c r="F39" s="99">
        <f>SUM(C39:E39)</f>
        <v>6123565.8167970004</v>
      </c>
      <c r="G39" s="92">
        <f>SUM(G37:G38)</f>
        <v>1734335.2373490001</v>
      </c>
      <c r="H39" s="92">
        <f>SUM(H37:H38)</f>
        <v>1605456.8226839998</v>
      </c>
      <c r="I39" s="92">
        <f>SUM(I37:I38)</f>
        <v>1653325.95</v>
      </c>
      <c r="J39" s="99">
        <f>SUM(G39:I39)</f>
        <v>4993118.0100330003</v>
      </c>
      <c r="K39" s="91">
        <f>SUM(J39,F39,J16,F16)</f>
        <v>36822404.191868998</v>
      </c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</row>
    <row r="40" spans="1:23" ht="19.5" thickBot="1" x14ac:dyDescent="0.35">
      <c r="B40" s="90" t="s">
        <v>17</v>
      </c>
      <c r="C40" s="89">
        <f>C39/$K$39</f>
        <v>5.9799999996964726E-2</v>
      </c>
      <c r="D40" s="89">
        <f>D39/$K$39</f>
        <v>5.6699999997122073E-2</v>
      </c>
      <c r="E40" s="89">
        <f>E39/$K$39</f>
        <v>4.9799999997472297E-2</v>
      </c>
      <c r="F40" s="88">
        <f>F39/$K$39</f>
        <v>0.16629999999155912</v>
      </c>
      <c r="G40" s="89">
        <f>G39/$K$39</f>
        <v>4.7099999997609346E-2</v>
      </c>
      <c r="H40" s="89">
        <f>H39/$K$39</f>
        <v>4.3599999997786985E-2</v>
      </c>
      <c r="I40" s="89">
        <f>I39/$K$39</f>
        <v>4.4900000048478148E-2</v>
      </c>
      <c r="J40" s="88">
        <f>J39/$K$39</f>
        <v>0.13560000004387449</v>
      </c>
      <c r="K40" s="101">
        <f>K39/$K$39</f>
        <v>1</v>
      </c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82"/>
    </row>
    <row r="41" spans="1:23" x14ac:dyDescent="0.3">
      <c r="B41" s="95" t="s">
        <v>18</v>
      </c>
      <c r="C41" s="99">
        <f>C42+C43+C44+C45+C46</f>
        <v>2722901.5575000001</v>
      </c>
      <c r="D41" s="99">
        <f>D42+D43+D44+D45+D46</f>
        <v>2722901.5575000001</v>
      </c>
      <c r="E41" s="99">
        <f>E42+E43+E44+E45+E46</f>
        <v>2722901.5575000001</v>
      </c>
      <c r="F41" s="99">
        <f>SUM(C41:E41)</f>
        <v>8168704.6725000003</v>
      </c>
      <c r="G41" s="99">
        <f>G42+G43+G44+G45+G46</f>
        <v>2722901.5575000001</v>
      </c>
      <c r="H41" s="99">
        <f>H42+H43+H44+H45+H46</f>
        <v>2722901.5575000001</v>
      </c>
      <c r="I41" s="99">
        <f>I42+I43+I44+I45+I46</f>
        <v>2722901.5575000001</v>
      </c>
      <c r="J41" s="99">
        <f>SUM(G41:I41)</f>
        <v>8168704.6725000003</v>
      </c>
      <c r="K41" s="91">
        <f>SUM(J41,F41,J18,F18)</f>
        <v>32674818.690000001</v>
      </c>
    </row>
    <row r="42" spans="1:23" x14ac:dyDescent="0.3">
      <c r="B42" s="97" t="s">
        <v>19</v>
      </c>
      <c r="C42" s="96">
        <f>$E$19</f>
        <v>778896.33000000007</v>
      </c>
      <c r="D42" s="96">
        <f>$E$19</f>
        <v>778896.33000000007</v>
      </c>
      <c r="E42" s="96">
        <f>$E$19</f>
        <v>778896.33000000007</v>
      </c>
      <c r="F42" s="96">
        <f>SUM(C42:E42)</f>
        <v>2336688.9900000002</v>
      </c>
      <c r="G42" s="96">
        <f>$E$19</f>
        <v>778896.33000000007</v>
      </c>
      <c r="H42" s="96">
        <f>$E$19</f>
        <v>778896.33000000007</v>
      </c>
      <c r="I42" s="96">
        <f>$E$19</f>
        <v>778896.33000000007</v>
      </c>
      <c r="J42" s="96">
        <f>SUM(G42:I42)</f>
        <v>2336688.9900000002</v>
      </c>
      <c r="K42" s="98">
        <f>SUM(J42,F42,J19,F19)</f>
        <v>9346755.9600000009</v>
      </c>
    </row>
    <row r="43" spans="1:23" x14ac:dyDescent="0.3">
      <c r="B43" s="97" t="s">
        <v>20</v>
      </c>
      <c r="C43" s="96">
        <f>$C$20</f>
        <v>0</v>
      </c>
      <c r="D43" s="96">
        <f>$C$20</f>
        <v>0</v>
      </c>
      <c r="E43" s="96">
        <f>$C$20</f>
        <v>0</v>
      </c>
      <c r="F43" s="96">
        <f>SUM(C43:E43)</f>
        <v>0</v>
      </c>
      <c r="G43" s="96">
        <f>$C$20</f>
        <v>0</v>
      </c>
      <c r="H43" s="96">
        <f>$C$20</f>
        <v>0</v>
      </c>
      <c r="I43" s="96">
        <f>$C$20</f>
        <v>0</v>
      </c>
      <c r="J43" s="96">
        <f>SUM(G43:I43)</f>
        <v>0</v>
      </c>
      <c r="K43" s="91">
        <f>SUM(J43,F43,J20,F20)</f>
        <v>0</v>
      </c>
    </row>
    <row r="44" spans="1:23" x14ac:dyDescent="0.3">
      <c r="B44" s="97" t="s">
        <v>21</v>
      </c>
      <c r="C44" s="96">
        <f>$C$21</f>
        <v>45752.137500000004</v>
      </c>
      <c r="D44" s="96">
        <f>$C$21</f>
        <v>45752.137500000004</v>
      </c>
      <c r="E44" s="96">
        <f>$C$21</f>
        <v>45752.137500000004</v>
      </c>
      <c r="F44" s="96">
        <f>SUM(C44:E44)</f>
        <v>137256.41250000001</v>
      </c>
      <c r="G44" s="96">
        <f>$C$21</f>
        <v>45752.137500000004</v>
      </c>
      <c r="H44" s="96">
        <f>$C$21</f>
        <v>45752.137500000004</v>
      </c>
      <c r="I44" s="96">
        <f>$C$21</f>
        <v>45752.137500000004</v>
      </c>
      <c r="J44" s="96">
        <f>SUM(G44:I44)</f>
        <v>137256.41250000001</v>
      </c>
      <c r="K44" s="91">
        <f>SUM(J44,F44,J21,F21)</f>
        <v>549025.65</v>
      </c>
    </row>
    <row r="45" spans="1:23" x14ac:dyDescent="0.3">
      <c r="B45" s="97" t="s">
        <v>22</v>
      </c>
      <c r="C45" s="96">
        <f>$C$22</f>
        <v>25609.429999999997</v>
      </c>
      <c r="D45" s="96">
        <f>$C$22</f>
        <v>25609.429999999997</v>
      </c>
      <c r="E45" s="96">
        <f>$C$22</f>
        <v>25609.429999999997</v>
      </c>
      <c r="F45" s="96">
        <f>SUM(C45:E45)</f>
        <v>76828.289999999994</v>
      </c>
      <c r="G45" s="96">
        <f>$C$22</f>
        <v>25609.429999999997</v>
      </c>
      <c r="H45" s="96">
        <f>$C$22</f>
        <v>25609.429999999997</v>
      </c>
      <c r="I45" s="96">
        <f>$C$22</f>
        <v>25609.429999999997</v>
      </c>
      <c r="J45" s="96">
        <f>SUM(G45:I45)</f>
        <v>76828.289999999994</v>
      </c>
      <c r="K45" s="91">
        <f>SUM(J45,F45,J22,F22)</f>
        <v>307313.15999999997</v>
      </c>
    </row>
    <row r="46" spans="1:23" x14ac:dyDescent="0.3">
      <c r="B46" s="97" t="s">
        <v>23</v>
      </c>
      <c r="C46" s="96">
        <f>$C$23</f>
        <v>1872643.6600000001</v>
      </c>
      <c r="D46" s="96">
        <f>$C$23</f>
        <v>1872643.6600000001</v>
      </c>
      <c r="E46" s="96">
        <f>$C$23</f>
        <v>1872643.6600000001</v>
      </c>
      <c r="F46" s="96">
        <f>SUM(C46:E46)</f>
        <v>5617930.9800000004</v>
      </c>
      <c r="G46" s="96">
        <f>$C$23</f>
        <v>1872643.6600000001</v>
      </c>
      <c r="H46" s="96">
        <f>$C$23</f>
        <v>1872643.6600000001</v>
      </c>
      <c r="I46" s="96">
        <f>$C$23</f>
        <v>1872643.6600000001</v>
      </c>
      <c r="J46" s="96">
        <f>SUM(G46:I46)</f>
        <v>5617930.9800000004</v>
      </c>
      <c r="K46" s="91">
        <f>SUM(J46,F46,J23,F23)</f>
        <v>22471723.920000002</v>
      </c>
    </row>
    <row r="47" spans="1:23" x14ac:dyDescent="0.3">
      <c r="B47" s="95" t="s">
        <v>24</v>
      </c>
      <c r="C47" s="94">
        <f>C48</f>
        <v>105061.95833333333</v>
      </c>
      <c r="D47" s="94">
        <f>D48</f>
        <v>105061.95833333333</v>
      </c>
      <c r="E47" s="94">
        <f>E48</f>
        <v>105061.95833333333</v>
      </c>
      <c r="F47" s="94">
        <f>SUM(C47:E47)</f>
        <v>315185.875</v>
      </c>
      <c r="G47" s="94">
        <f>G48</f>
        <v>105061.95833333333</v>
      </c>
      <c r="H47" s="94">
        <f>H48</f>
        <v>105061.95833333333</v>
      </c>
      <c r="I47" s="94">
        <f>I48</f>
        <v>1755061.9583333333</v>
      </c>
      <c r="J47" s="94">
        <f>SUM(G47:I47)</f>
        <v>1965185.875</v>
      </c>
      <c r="K47" s="91">
        <f>SUM(J47,F47,J24,F24)</f>
        <v>2910743.5</v>
      </c>
    </row>
    <row r="48" spans="1:23" x14ac:dyDescent="0.3">
      <c r="B48" s="97" t="s">
        <v>25</v>
      </c>
      <c r="C48" s="96">
        <f>SUM(C49:C51)</f>
        <v>105061.95833333333</v>
      </c>
      <c r="D48" s="96">
        <f>SUM(D49:D51)</f>
        <v>105061.95833333333</v>
      </c>
      <c r="E48" s="96">
        <f>SUM(E49:E51)</f>
        <v>105061.95833333333</v>
      </c>
      <c r="F48" s="96">
        <f>SUM(C48:E48)</f>
        <v>315185.875</v>
      </c>
      <c r="G48" s="96">
        <f>SUM(G49:G50)</f>
        <v>105061.95833333333</v>
      </c>
      <c r="H48" s="96">
        <f>SUM(H49:H51)</f>
        <v>105061.95833333333</v>
      </c>
      <c r="I48" s="96">
        <f>SUM(I49:I51)</f>
        <v>1755061.9583333333</v>
      </c>
      <c r="J48" s="96">
        <f>SUM(G48:I48)</f>
        <v>1965185.875</v>
      </c>
      <c r="K48" s="98">
        <f>SUM(J48,F48,J25,F25)</f>
        <v>2910743.5</v>
      </c>
    </row>
    <row r="49" spans="2:11" x14ac:dyDescent="0.3">
      <c r="B49" s="97" t="s">
        <v>26</v>
      </c>
      <c r="C49" s="96">
        <f>$C$26</f>
        <v>11625</v>
      </c>
      <c r="D49" s="96">
        <f>$C$26</f>
        <v>11625</v>
      </c>
      <c r="E49" s="96">
        <f>$C$26</f>
        <v>11625</v>
      </c>
      <c r="F49" s="96">
        <f>SUM(C49:E49)</f>
        <v>34875</v>
      </c>
      <c r="G49" s="96">
        <f>$C$26</f>
        <v>11625</v>
      </c>
      <c r="H49" s="96">
        <f>$C$26</f>
        <v>11625</v>
      </c>
      <c r="I49" s="96">
        <f>$C$26</f>
        <v>11625</v>
      </c>
      <c r="J49" s="96">
        <f>SUM(G49:I49)</f>
        <v>34875</v>
      </c>
      <c r="K49" s="91">
        <f>SUM(J49,F49,J26,F26)</f>
        <v>139500</v>
      </c>
    </row>
    <row r="50" spans="2:11" x14ac:dyDescent="0.3">
      <c r="B50" s="97" t="s">
        <v>27</v>
      </c>
      <c r="C50" s="96">
        <f>$C$27</f>
        <v>93436.958333333328</v>
      </c>
      <c r="D50" s="96">
        <f>$C$27</f>
        <v>93436.958333333328</v>
      </c>
      <c r="E50" s="96">
        <f>$C$27</f>
        <v>93436.958333333328</v>
      </c>
      <c r="F50" s="96">
        <f>SUM(C50:E50)</f>
        <v>280310.875</v>
      </c>
      <c r="G50" s="96">
        <f>$C$27</f>
        <v>93436.958333333328</v>
      </c>
      <c r="H50" s="96">
        <f>$C$27</f>
        <v>93436.958333333328</v>
      </c>
      <c r="I50" s="96">
        <f>$C$27</f>
        <v>93436.958333333328</v>
      </c>
      <c r="J50" s="96">
        <f>SUM(G50:I50)</f>
        <v>280310.875</v>
      </c>
      <c r="K50" s="91">
        <f>SUM(J50,F50,J27,F27)</f>
        <v>1121243.5</v>
      </c>
    </row>
    <row r="51" spans="2:11" x14ac:dyDescent="0.3">
      <c r="B51" s="97" t="s">
        <v>28</v>
      </c>
      <c r="C51" s="96">
        <v>0</v>
      </c>
      <c r="D51" s="96">
        <v>0</v>
      </c>
      <c r="E51" s="96">
        <v>0</v>
      </c>
      <c r="F51" s="96">
        <f>SUM(C51:E51)</f>
        <v>0</v>
      </c>
      <c r="G51" s="96">
        <v>0</v>
      </c>
      <c r="H51" s="96">
        <v>0</v>
      </c>
      <c r="I51" s="96">
        <f>C65</f>
        <v>1650000</v>
      </c>
      <c r="J51" s="96">
        <v>0</v>
      </c>
      <c r="K51" s="91">
        <f>SUM(J51,F51,J28,F28)</f>
        <v>0</v>
      </c>
    </row>
    <row r="52" spans="2:11" x14ac:dyDescent="0.3">
      <c r="B52" s="95" t="s">
        <v>29</v>
      </c>
      <c r="C52" s="94">
        <v>0</v>
      </c>
      <c r="D52" s="94">
        <v>0</v>
      </c>
      <c r="E52" s="94">
        <v>0</v>
      </c>
      <c r="F52" s="94">
        <f>SUM(C52:E52)</f>
        <v>0</v>
      </c>
      <c r="G52" s="94">
        <v>0</v>
      </c>
      <c r="H52" s="94">
        <v>0</v>
      </c>
      <c r="I52" s="94">
        <f>C66</f>
        <v>1236842</v>
      </c>
      <c r="J52" s="94">
        <f>SUM(G52:I52)</f>
        <v>1236842</v>
      </c>
      <c r="K52" s="91">
        <f>SUM(J52,F52,J29,F29)</f>
        <v>1236842</v>
      </c>
    </row>
    <row r="53" spans="2:11" x14ac:dyDescent="0.3">
      <c r="B53" s="93" t="s">
        <v>30</v>
      </c>
      <c r="C53" s="92">
        <f>C41+C47</f>
        <v>2827963.5158333336</v>
      </c>
      <c r="D53" s="92">
        <f>D41+D47</f>
        <v>2827963.5158333336</v>
      </c>
      <c r="E53" s="92">
        <f>E41+E47</f>
        <v>2827963.5158333336</v>
      </c>
      <c r="F53" s="92">
        <f>F41+F47+F52</f>
        <v>8483890.5474999994</v>
      </c>
      <c r="G53" s="92">
        <f>G41+G47</f>
        <v>2827963.5158333336</v>
      </c>
      <c r="H53" s="92">
        <f>H41+H47</f>
        <v>2827963.5158333336</v>
      </c>
      <c r="I53" s="92">
        <f>I41+I47+I52</f>
        <v>5714805.5158333331</v>
      </c>
      <c r="J53" s="92">
        <f>J41+J47+J52</f>
        <v>11370732.547499999</v>
      </c>
      <c r="K53" s="91">
        <f>SUM(J53,F53,J30,F30)</f>
        <v>36822404.189999998</v>
      </c>
    </row>
    <row r="54" spans="2:11" ht="19.5" thickBot="1" x14ac:dyDescent="0.35">
      <c r="B54" s="90" t="s">
        <v>17</v>
      </c>
      <c r="C54" s="89">
        <f>C53/$K$53</f>
        <v>7.680007805143084E-2</v>
      </c>
      <c r="D54" s="89">
        <f>D53/$K$53</f>
        <v>7.680007805143084E-2</v>
      </c>
      <c r="E54" s="89">
        <f>E53/$K$53</f>
        <v>7.680007805143084E-2</v>
      </c>
      <c r="F54" s="88">
        <f>F53/$K$53</f>
        <v>0.23040023415429248</v>
      </c>
      <c r="G54" s="89">
        <f>G53/$K$53</f>
        <v>7.680007805143084E-2</v>
      </c>
      <c r="H54" s="89">
        <f>H53/$K$53</f>
        <v>7.680007805143084E-2</v>
      </c>
      <c r="I54" s="89">
        <f>I53/$K$53</f>
        <v>0.15519914143426097</v>
      </c>
      <c r="J54" s="88">
        <f>J53/$K$53</f>
        <v>0.3087992975371226</v>
      </c>
      <c r="K54" s="87">
        <f>K53/$K$53</f>
        <v>1</v>
      </c>
    </row>
    <row r="55" spans="2:11" ht="20.25" thickTop="1" thickBot="1" x14ac:dyDescent="0.35">
      <c r="B55" s="86" t="s">
        <v>31</v>
      </c>
      <c r="C55" s="85">
        <f>(I32+C39)-C53</f>
        <v>8111955.5247676633</v>
      </c>
      <c r="D55" s="85">
        <f>(C55+D39)-D53</f>
        <v>7371822.3265073299</v>
      </c>
      <c r="E55" s="85">
        <f>(D55+E39)-E53</f>
        <v>6377614.5393359959</v>
      </c>
      <c r="F55" s="85">
        <v>0</v>
      </c>
      <c r="G55" s="85">
        <f>(E55+G39)-G53</f>
        <v>5283986.2608516626</v>
      </c>
      <c r="H55" s="85">
        <f>(G55+H39)-H53</f>
        <v>4061479.5677023283</v>
      </c>
      <c r="I55" s="85">
        <f>(H55+I39)-I53</f>
        <v>1.8689949065446854E-3</v>
      </c>
      <c r="J55" s="85">
        <v>0</v>
      </c>
      <c r="K55" s="84">
        <f>SUM(J55,F55,J32,F32)</f>
        <v>0</v>
      </c>
    </row>
    <row r="56" spans="2:11" ht="19.5" thickTop="1" x14ac:dyDescent="0.3">
      <c r="B56" s="83"/>
      <c r="C56" s="83"/>
      <c r="D56" s="83"/>
      <c r="E56" s="83"/>
      <c r="F56" s="82"/>
      <c r="G56" s="82"/>
      <c r="H56" s="82"/>
      <c r="I56" s="82"/>
      <c r="J56" s="82"/>
      <c r="K56" s="82"/>
    </row>
    <row r="57" spans="2:11" x14ac:dyDescent="0.3">
      <c r="B57" s="72"/>
      <c r="C57" s="69"/>
      <c r="D57" s="69"/>
      <c r="E57" s="68"/>
      <c r="K57" s="81">
        <f>K37-K53</f>
        <v>1.8690004944801331E-3</v>
      </c>
    </row>
    <row r="58" spans="2:11" x14ac:dyDescent="0.3">
      <c r="B58" s="77" t="s">
        <v>19</v>
      </c>
      <c r="C58" s="75">
        <v>9346755.9600000009</v>
      </c>
      <c r="D58" s="69">
        <f>C58-K42</f>
        <v>0</v>
      </c>
      <c r="E58" s="68"/>
    </row>
    <row r="59" spans="2:11" x14ac:dyDescent="0.3">
      <c r="B59" s="77" t="s">
        <v>20</v>
      </c>
      <c r="C59" s="80">
        <v>0</v>
      </c>
      <c r="D59" s="69"/>
      <c r="E59" s="68"/>
    </row>
    <row r="60" spans="2:11" x14ac:dyDescent="0.3">
      <c r="B60" s="77" t="s">
        <v>21</v>
      </c>
      <c r="C60" s="75">
        <v>549025.65</v>
      </c>
      <c r="D60" s="69">
        <f>C60-K44</f>
        <v>0</v>
      </c>
      <c r="E60" s="68"/>
    </row>
    <row r="61" spans="2:11" x14ac:dyDescent="0.3">
      <c r="B61" s="77" t="s">
        <v>22</v>
      </c>
      <c r="C61" s="75">
        <v>307313.15999999997</v>
      </c>
      <c r="D61" s="69">
        <f>C61-K45</f>
        <v>0</v>
      </c>
      <c r="E61" s="68"/>
      <c r="K61" s="79"/>
    </row>
    <row r="62" spans="2:11" x14ac:dyDescent="0.3">
      <c r="B62" s="77" t="s">
        <v>23</v>
      </c>
      <c r="C62" s="78">
        <f>23328062.73-(C60+C61)</f>
        <v>22471723.920000002</v>
      </c>
      <c r="D62" s="69">
        <f>C62-K46</f>
        <v>0</v>
      </c>
      <c r="E62" s="68"/>
    </row>
    <row r="63" spans="2:11" x14ac:dyDescent="0.3">
      <c r="B63" s="77" t="s">
        <v>26</v>
      </c>
      <c r="C63" s="75">
        <v>139500</v>
      </c>
      <c r="D63" s="69">
        <f>C63-K49</f>
        <v>0</v>
      </c>
      <c r="E63" s="68"/>
    </row>
    <row r="64" spans="2:11" x14ac:dyDescent="0.3">
      <c r="B64" s="77" t="s">
        <v>27</v>
      </c>
      <c r="C64" s="75">
        <v>1121243.5</v>
      </c>
      <c r="D64" s="69">
        <f>C64-K50</f>
        <v>0</v>
      </c>
      <c r="E64" s="68"/>
    </row>
    <row r="65" spans="2:5" x14ac:dyDescent="0.3">
      <c r="B65" s="77" t="s">
        <v>28</v>
      </c>
      <c r="C65" s="75">
        <v>1650000</v>
      </c>
      <c r="D65" s="69"/>
      <c r="E65" s="68"/>
    </row>
    <row r="66" spans="2:5" x14ac:dyDescent="0.3">
      <c r="B66" s="76" t="s">
        <v>29</v>
      </c>
      <c r="C66" s="75">
        <v>1236842</v>
      </c>
      <c r="D66" s="69">
        <f>C66-K52</f>
        <v>0</v>
      </c>
      <c r="E66" s="68"/>
    </row>
    <row r="67" spans="2:5" x14ac:dyDescent="0.3">
      <c r="B67" s="72"/>
      <c r="C67" s="74"/>
      <c r="D67" s="69"/>
      <c r="E67" s="68"/>
    </row>
    <row r="68" spans="2:5" x14ac:dyDescent="0.3">
      <c r="B68" s="72"/>
      <c r="C68" s="73">
        <f>SUM(C58:C67)</f>
        <v>36822404.190000005</v>
      </c>
      <c r="D68" s="69"/>
      <c r="E68" s="68"/>
    </row>
    <row r="69" spans="2:5" x14ac:dyDescent="0.3">
      <c r="B69" s="72"/>
      <c r="C69" s="72"/>
      <c r="D69" s="69"/>
      <c r="E69" s="68"/>
    </row>
    <row r="70" spans="2:5" x14ac:dyDescent="0.3">
      <c r="B70" s="69"/>
      <c r="C70" s="71">
        <v>36822404.189999998</v>
      </c>
      <c r="D70" s="69"/>
      <c r="E70" s="68"/>
    </row>
    <row r="71" spans="2:5" x14ac:dyDescent="0.3">
      <c r="B71" s="69"/>
      <c r="C71" s="69"/>
      <c r="D71" s="69"/>
      <c r="E71" s="68"/>
    </row>
    <row r="72" spans="2:5" x14ac:dyDescent="0.3">
      <c r="B72" s="69"/>
      <c r="C72" s="69"/>
      <c r="D72" s="69"/>
      <c r="E72" s="68"/>
    </row>
    <row r="73" spans="2:5" x14ac:dyDescent="0.3">
      <c r="B73" s="69"/>
      <c r="C73" s="70">
        <f>C68-C70</f>
        <v>0</v>
      </c>
      <c r="D73" s="69"/>
      <c r="E73" s="68"/>
    </row>
    <row r="74" spans="2:5" x14ac:dyDescent="0.3">
      <c r="B74" s="69"/>
      <c r="C74" s="69"/>
      <c r="D74" s="69"/>
      <c r="E74" s="68"/>
    </row>
    <row r="75" spans="2:5" x14ac:dyDescent="0.3">
      <c r="B75" s="68"/>
      <c r="C75" s="68"/>
      <c r="D75" s="68"/>
      <c r="E75" s="68"/>
    </row>
    <row r="76" spans="2:5" x14ac:dyDescent="0.3">
      <c r="B76" s="68"/>
      <c r="C76" s="68"/>
      <c r="D76" s="68"/>
      <c r="E76" s="68"/>
    </row>
    <row r="77" spans="2:5" x14ac:dyDescent="0.3">
      <c r="B77" s="68"/>
      <c r="C77" s="68"/>
      <c r="D77" s="68"/>
      <c r="E77" s="68"/>
    </row>
    <row r="78" spans="2:5" x14ac:dyDescent="0.3">
      <c r="B78" s="68"/>
      <c r="C78" s="68"/>
      <c r="D78" s="68"/>
      <c r="E78" s="68"/>
    </row>
    <row r="79" spans="2:5" x14ac:dyDescent="0.3">
      <c r="B79" s="68"/>
      <c r="C79" s="68"/>
      <c r="D79" s="68"/>
      <c r="E79" s="68"/>
    </row>
    <row r="80" spans="2:5" x14ac:dyDescent="0.3">
      <c r="B80" s="68"/>
      <c r="C80" s="68"/>
      <c r="D80" s="68"/>
      <c r="E80" s="68"/>
    </row>
    <row r="81" spans="2:5" x14ac:dyDescent="0.3">
      <c r="B81" s="68"/>
      <c r="C81" s="68"/>
      <c r="D81" s="68"/>
      <c r="E81" s="68"/>
    </row>
    <row r="82" spans="2:5" x14ac:dyDescent="0.3">
      <c r="B82" s="68"/>
      <c r="C82" s="68"/>
      <c r="D82" s="68"/>
      <c r="E82" s="68"/>
    </row>
  </sheetData>
  <mergeCells count="4">
    <mergeCell ref="T6:U6"/>
    <mergeCell ref="C8:I8"/>
    <mergeCell ref="C12:K12"/>
    <mergeCell ref="C35:K35"/>
  </mergeCells>
  <dataValidations count="1">
    <dataValidation allowBlank="1" showInputMessage="1" showErrorMessage="1" promptTitle="Não Preencher!" prompt="Cálculo Automático" sqref="F14:F16 J14:K16 C18:K19 F20:F27 J20:K23 C24:E25 G24:K25 J26:K28 C29:K29 K30 C32:K32 F37:F39 J37:K39 C41:K42 F43:F52 J43:K46 C47:E48 G47:K48 J49:K50 K51:K53 C52:E52 G52:J52 C55:K55">
      <formula1>0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51180555555555496"/>
  <pageSetup paperSize="9" scale="49" firstPageNumber="0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Cronog.Desembolso2023</vt:lpstr>
      <vt:lpstr>Cronog.Desemb.2023REFORMULAÇÃO</vt:lpstr>
      <vt:lpstr>Cronog.Desemb.2023REFORMULAÇÃO!Area_de_impressao</vt:lpstr>
      <vt:lpstr>Cronog.Desembolso2023!Area_de_impressao</vt:lpstr>
    </vt:vector>
  </TitlesOfParts>
  <Company>FINEP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FINEP</dc:creator>
  <dc:description/>
  <cp:lastModifiedBy>Ediluci Cristiane Silva Santos</cp:lastModifiedBy>
  <cp:revision>5</cp:revision>
  <cp:lastPrinted>2018-12-17T11:53:05Z</cp:lastPrinted>
  <dcterms:created xsi:type="dcterms:W3CDTF">2000-04-06T17:53:08Z</dcterms:created>
  <dcterms:modified xsi:type="dcterms:W3CDTF">2024-09-26T18:49:38Z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FINEP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