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Administrativo Edileusa\LAI\"/>
    </mc:Choice>
  </mc:AlternateContent>
  <xr:revisionPtr revIDLastSave="0" documentId="13_ncr:1_{07BF6891-1D90-49F9-9F7D-E6C4FE2DF945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1" i="1" l="1"/>
  <c r="K51" i="1"/>
  <c r="I51" i="1"/>
  <c r="H51" i="1"/>
  <c r="G51" i="1"/>
  <c r="P51" i="1"/>
  <c r="O51" i="1"/>
  <c r="M51" i="1"/>
  <c r="F51" i="1"/>
  <c r="P37" i="1"/>
  <c r="L36" i="1"/>
  <c r="L38" i="1"/>
  <c r="L47" i="1"/>
  <c r="L46" i="1"/>
  <c r="P47" i="1"/>
  <c r="P46" i="1"/>
  <c r="P38" i="1"/>
  <c r="O50" i="1"/>
  <c r="O49" i="1"/>
  <c r="O48" i="1"/>
  <c r="O46" i="1"/>
  <c r="O45" i="1"/>
  <c r="O44" i="1"/>
  <c r="O42" i="1"/>
  <c r="O41" i="1"/>
  <c r="O40" i="1"/>
  <c r="O39" i="1"/>
  <c r="O37" i="1"/>
  <c r="O36" i="1"/>
  <c r="O35" i="1"/>
  <c r="O34" i="1"/>
  <c r="O33" i="1"/>
  <c r="O32" i="1"/>
  <c r="O31" i="1"/>
  <c r="O29" i="1"/>
  <c r="O28" i="1"/>
  <c r="O27" i="1"/>
  <c r="O26" i="1"/>
  <c r="O24" i="1"/>
  <c r="O22" i="1"/>
  <c r="O21" i="1"/>
  <c r="O20" i="1"/>
  <c r="O19" i="1"/>
  <c r="O18" i="1"/>
  <c r="O17" i="1"/>
  <c r="O16" i="1"/>
  <c r="O15" i="1"/>
  <c r="O14" i="1"/>
  <c r="O13" i="1"/>
  <c r="O11" i="1"/>
  <c r="O9" i="1"/>
  <c r="O8" i="1"/>
  <c r="N51" i="1"/>
  <c r="N50" i="1"/>
  <c r="N49" i="1"/>
  <c r="N45" i="1"/>
  <c r="N44" i="1"/>
  <c r="N41" i="1"/>
  <c r="N40" i="1"/>
  <c r="N37" i="1"/>
  <c r="N35" i="1"/>
  <c r="N34" i="1"/>
  <c r="N33" i="1"/>
  <c r="N31" i="1"/>
  <c r="N30" i="1"/>
  <c r="N29" i="1"/>
  <c r="N28" i="1"/>
  <c r="N27" i="1"/>
  <c r="N26" i="1"/>
  <c r="N25" i="1"/>
  <c r="N22" i="1"/>
  <c r="N21" i="1"/>
  <c r="N18" i="1"/>
  <c r="N17" i="1"/>
  <c r="N16" i="1"/>
  <c r="N15" i="1"/>
  <c r="N14" i="1"/>
  <c r="N13" i="1"/>
  <c r="N11" i="1"/>
  <c r="N9" i="1"/>
  <c r="N8" i="1"/>
  <c r="M50" i="1"/>
  <c r="M49" i="1"/>
  <c r="M48" i="1"/>
  <c r="M46" i="1"/>
  <c r="M45" i="1"/>
  <c r="M44" i="1"/>
  <c r="M42" i="1"/>
  <c r="M41" i="1"/>
  <c r="M40" i="1"/>
  <c r="M39" i="1"/>
  <c r="M37" i="1"/>
  <c r="M35" i="1"/>
  <c r="M34" i="1"/>
  <c r="M33" i="1"/>
  <c r="M32" i="1"/>
  <c r="M31" i="1"/>
  <c r="M30" i="1"/>
  <c r="M29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1" i="1"/>
  <c r="M10" i="1"/>
  <c r="M8" i="1"/>
  <c r="K50" i="1"/>
  <c r="K49" i="1"/>
  <c r="K48" i="1"/>
  <c r="K47" i="1"/>
  <c r="K46" i="1"/>
  <c r="K45" i="1"/>
  <c r="K44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5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I48" i="1"/>
  <c r="I42" i="1"/>
  <c r="I39" i="1"/>
  <c r="I36" i="1"/>
  <c r="I33" i="1"/>
  <c r="I32" i="1"/>
  <c r="I30" i="1"/>
  <c r="I23" i="1"/>
  <c r="I20" i="1"/>
  <c r="I10" i="1"/>
  <c r="I9" i="1"/>
  <c r="G48" i="1"/>
  <c r="G45" i="1"/>
  <c r="G34" i="1"/>
  <c r="G31" i="1"/>
  <c r="G29" i="1"/>
  <c r="G28" i="1"/>
  <c r="G22" i="1"/>
  <c r="G17" i="1"/>
  <c r="G16" i="1"/>
  <c r="G12" i="1"/>
  <c r="G11" i="1"/>
</calcChain>
</file>

<file path=xl/sharedStrings.xml><?xml version="1.0" encoding="utf-8"?>
<sst xmlns="http://schemas.openxmlformats.org/spreadsheetml/2006/main" count="116" uniqueCount="116">
  <si>
    <t>REMUNERAÇAO DE PESSOAL</t>
  </si>
  <si>
    <t>Pág.: 1 de 2</t>
  </si>
  <si>
    <t>Licenciado para:</t>
  </si>
  <si>
    <t>CONSELHO REGIONAL DE ENFERMAGEM DO PIAUI</t>
  </si>
  <si>
    <t>EDILEUSA</t>
  </si>
  <si>
    <t>Empresa:</t>
  </si>
  <si>
    <t>Conselho Regional de Enfermagem do Piauí - CNPJ: 04.769.874/0001-69</t>
  </si>
  <si>
    <t>Fortes Pessoal 8.1.1</t>
  </si>
  <si>
    <t>Mês/Ano: 06/2024</t>
  </si>
  <si>
    <t>Estabelecimento: 0001 - COREN PI</t>
  </si>
  <si>
    <t>Código</t>
  </si>
  <si>
    <t>Nome</t>
  </si>
  <si>
    <t>SALARIOS</t>
  </si>
  <si>
    <t>GRATIFICAÇÃO</t>
  </si>
  <si>
    <t>13º SALARIO</t>
  </si>
  <si>
    <t>FERIAS</t>
  </si>
  <si>
    <t>RESCISÃO</t>
  </si>
  <si>
    <t>OUTROS</t>
  </si>
  <si>
    <t>TOTAIS</t>
  </si>
  <si>
    <t>INSS</t>
  </si>
  <si>
    <t>IRRF</t>
  </si>
  <si>
    <t>OUTROS</t>
  </si>
  <si>
    <t>LIQUIDO A</t>
  </si>
  <si>
    <t>PROVENTOS</t>
  </si>
  <si>
    <t>PROVENTOS</t>
  </si>
  <si>
    <t>DESCONTOS</t>
  </si>
  <si>
    <t>RECEBER</t>
  </si>
  <si>
    <t>000178</t>
  </si>
  <si>
    <t>ADRIANA DE HOLANDA ANTUNES</t>
  </si>
  <si>
    <t>000167</t>
  </si>
  <si>
    <t>ALONSO PEREIRA DUARTE JUNIOR</t>
  </si>
  <si>
    <t>000140</t>
  </si>
  <si>
    <t>ANA LARA DE CASTRO MARQUES</t>
  </si>
  <si>
    <t>000175</t>
  </si>
  <si>
    <t>ANA LÍDIA DOS SANTOS LEAL</t>
  </si>
  <si>
    <t>000147</t>
  </si>
  <si>
    <t>ANDRESSA NOGUEIRA DE PAULA SINDEAUX</t>
  </si>
  <si>
    <t>000010</t>
  </si>
  <si>
    <t>ANTONIO ALBERTO NUNES DE CARVALHO</t>
  </si>
  <si>
    <t>000131</t>
  </si>
  <si>
    <t>ARTHUR ANTUNES SOARES LOPES</t>
  </si>
  <si>
    <t>000130</t>
  </si>
  <si>
    <t>AÉCIO FRANCINÉLIO MOURA CAMPELO</t>
  </si>
  <si>
    <t>000004</t>
  </si>
  <si>
    <t>DEUSELINA CARVALHO DE SOUSA</t>
  </si>
  <si>
    <t>000060</t>
  </si>
  <si>
    <t>DIEGO DA SILVA SANTOS</t>
  </si>
  <si>
    <t>000173</t>
  </si>
  <si>
    <t>ELISEU LIMA NERES</t>
  </si>
  <si>
    <t>000183</t>
  </si>
  <si>
    <t>GIOVANNA DA SILVA BANDEIRA</t>
  </si>
  <si>
    <t>000160</t>
  </si>
  <si>
    <t>LOUYSE PAIXÃO ALVES</t>
  </si>
  <si>
    <t>000176</t>
  </si>
  <si>
    <t>MARIA CLARA MONTEIRO GUIMARAES</t>
  </si>
  <si>
    <t>000007</t>
  </si>
  <si>
    <t>MARIA DO AMPARO DE CASTRO E SILVA VIEIRA</t>
  </si>
  <si>
    <t>000151</t>
  </si>
  <si>
    <t>MARIA EDILEUSA PEREIRA DA ROCHA</t>
  </si>
  <si>
    <t>000006</t>
  </si>
  <si>
    <t>MARIA EDINEIDE SILVA</t>
  </si>
  <si>
    <t>000177</t>
  </si>
  <si>
    <t>NAZARENO FERREIRA LOPES COUTINHO JUNIOR</t>
  </si>
  <si>
    <t>000174</t>
  </si>
  <si>
    <t>PAULO CEFAS DE MELO MARINHO</t>
  </si>
  <si>
    <t>000136</t>
  </si>
  <si>
    <t>PEDRO PAULO BENJAMIN TEIXEIRA AIRES</t>
  </si>
  <si>
    <t>000055</t>
  </si>
  <si>
    <t>ROBERT MARCIO DA SILVA PENHA</t>
  </si>
  <si>
    <t>000046</t>
  </si>
  <si>
    <t>ROBERTA NEILANDIA SOARES FERREIRA</t>
  </si>
  <si>
    <t>000154</t>
  </si>
  <si>
    <t>SARA DANIELLY ALMEIDA</t>
  </si>
  <si>
    <t>000179</t>
  </si>
  <si>
    <t>SUSANA DE OLIVEIRA SILVA</t>
  </si>
  <si>
    <t>000135</t>
  </si>
  <si>
    <t>TAIS GOMES DAMASCENO</t>
  </si>
  <si>
    <t>000022</t>
  </si>
  <si>
    <t>ANA YARA DE SA BEZERRA ALVES</t>
  </si>
  <si>
    <t>000011</t>
  </si>
  <si>
    <t>ANGELANE MARIA FROTA NEPOMUCENO</t>
  </si>
  <si>
    <t>000056</t>
  </si>
  <si>
    <t>ANTONIA DALVA DOS SANTOS SOARES</t>
  </si>
  <si>
    <t>000017</t>
  </si>
  <si>
    <t>GARDENIA MENDES DE SOUSA SILVA</t>
  </si>
  <si>
    <t>000074</t>
  </si>
  <si>
    <t>GERSONETE DOS SANTOS SOBRINHO</t>
  </si>
  <si>
    <t>000165</t>
  </si>
  <si>
    <t>IRENE SOUSA RIBEIRO</t>
  </si>
  <si>
    <t>000146</t>
  </si>
  <si>
    <t>JONATAN AUGUSTO DA COSTA BRITTO</t>
  </si>
  <si>
    <t>000040</t>
  </si>
  <si>
    <t>KELLYANE CARVALHO DE MORAES</t>
  </si>
  <si>
    <t>000180</t>
  </si>
  <si>
    <t>LAYANY FEITOSA PINHO</t>
  </si>
  <si>
    <t>000161</t>
  </si>
  <si>
    <t>LETICIA CRAVEIRO CLAUDINO</t>
  </si>
  <si>
    <t>000053</t>
  </si>
  <si>
    <t>NAYRA FERNANDA DA SILVA SOUSA</t>
  </si>
  <si>
    <t>000181</t>
  </si>
  <si>
    <t>ROMULO DA COSTA CAMPELO</t>
  </si>
  <si>
    <t>000041</t>
  </si>
  <si>
    <t>SAMONA SOUSA GOMES</t>
  </si>
  <si>
    <t>000015</t>
  </si>
  <si>
    <t>ANDRE ALVES PEREIRA COSTA</t>
  </si>
  <si>
    <t>000153</t>
  </si>
  <si>
    <t>ANDREIA GOMES DO NASCIMENTO</t>
  </si>
  <si>
    <t>000002</t>
  </si>
  <si>
    <t>MARIA DO CARMO SANTOS</t>
  </si>
  <si>
    <t>terça-feira, 9 de julho de 2024</t>
  </si>
  <si>
    <t>09:36:10</t>
  </si>
  <si>
    <t>000003</t>
  </si>
  <si>
    <t>MARIA LINEUSA MENDES SOUSA DUARTE</t>
  </si>
  <si>
    <t>000036</t>
  </si>
  <si>
    <t>RAYFRAN RUBENS BANDEIRA DA SILVA</t>
  </si>
  <si>
    <t>TOTAL - 43 empregado(s)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</si>
</sst>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3" fillId="0" borderId="0" xfId="1" applyFont="1" applyAlignment="1">
      <alignment horizontal="right"/>
    </xf>
    <xf numFmtId="43" fontId="0" fillId="0" borderId="0" xfId="0" applyNumberFormat="1"/>
    <xf numFmtId="43" fontId="2" fillId="0" borderId="0" xfId="0" applyNumberFormat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7"/>
  <sheetViews>
    <sheetView tabSelected="1" workbookViewId="0">
      <selection activeCell="Q53" sqref="Q53"/>
    </sheetView>
  </sheetViews>
  <sheetFormatPr defaultColWidth="10" defaultRowHeight="15.75" x14ac:dyDescent="0.25"/>
  <cols>
    <col min="1" max="1" width="6.75" customWidth="1"/>
    <col min="2" max="2" width="2" customWidth="1"/>
    <col min="3" max="3" width="6" customWidth="1"/>
    <col min="4" max="4" width="23.375" customWidth="1"/>
    <col min="5" max="5" width="3.125" customWidth="1"/>
    <col min="6" max="6" width="10.5" customWidth="1"/>
    <col min="7" max="7" width="11.375" bestFit="1" customWidth="1"/>
    <col min="8" max="8" width="10.5" customWidth="1"/>
    <col min="9" max="9" width="10.625" customWidth="1"/>
    <col min="10" max="13" width="10.5" customWidth="1"/>
    <col min="14" max="14" width="10.625" customWidth="1"/>
    <col min="15" max="16" width="10.5" customWidth="1"/>
    <col min="17" max="17" width="12.125" customWidth="1"/>
    <col min="19" max="19" width="11.125" bestFit="1" customWidth="1"/>
  </cols>
  <sheetData>
    <row r="1" spans="1:19" x14ac:dyDescent="0.25">
      <c r="A1" t="s">
        <v>0</v>
      </c>
      <c r="O1" s="1"/>
      <c r="P1" s="1" t="s">
        <v>1</v>
      </c>
      <c r="Q1" s="1"/>
    </row>
    <row r="2" spans="1:19" x14ac:dyDescent="0.25">
      <c r="A2" s="2" t="s">
        <v>2</v>
      </c>
      <c r="D2" s="2" t="s">
        <v>3</v>
      </c>
      <c r="O2" s="3"/>
      <c r="P2" s="3" t="s">
        <v>4</v>
      </c>
      <c r="Q2" s="3"/>
    </row>
    <row r="3" spans="1:19" x14ac:dyDescent="0.25">
      <c r="A3" s="2" t="s">
        <v>5</v>
      </c>
      <c r="C3" s="2" t="s">
        <v>6</v>
      </c>
      <c r="O3" s="3"/>
      <c r="P3" s="3" t="s">
        <v>7</v>
      </c>
      <c r="Q3" s="3"/>
    </row>
    <row r="4" spans="1:19" x14ac:dyDescent="0.25">
      <c r="A4" s="4" t="s">
        <v>8</v>
      </c>
    </row>
    <row r="5" spans="1:19" x14ac:dyDescent="0.25">
      <c r="A5" s="4" t="s">
        <v>9</v>
      </c>
    </row>
    <row r="6" spans="1:19" x14ac:dyDescent="0.25">
      <c r="A6" s="5" t="s">
        <v>10</v>
      </c>
      <c r="B6" s="9" t="s">
        <v>11</v>
      </c>
      <c r="C6" s="10"/>
      <c r="D6" s="10"/>
      <c r="E6" s="10"/>
      <c r="F6" s="5" t="s">
        <v>12</v>
      </c>
      <c r="G6" s="5" t="s">
        <v>13</v>
      </c>
      <c r="H6" s="5" t="s">
        <v>14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19</v>
      </c>
      <c r="N6" s="5" t="s">
        <v>20</v>
      </c>
      <c r="O6" s="5" t="s">
        <v>21</v>
      </c>
      <c r="P6" s="5" t="s">
        <v>22</v>
      </c>
    </row>
    <row r="7" spans="1:19" x14ac:dyDescent="0.25">
      <c r="B7" s="12"/>
      <c r="C7" s="12"/>
      <c r="D7" s="12"/>
      <c r="E7" s="12"/>
      <c r="K7" s="5" t="s">
        <v>23</v>
      </c>
      <c r="L7" s="5" t="s">
        <v>24</v>
      </c>
      <c r="O7" s="5" t="s">
        <v>25</v>
      </c>
      <c r="P7" s="5" t="s">
        <v>26</v>
      </c>
    </row>
    <row r="8" spans="1:19" x14ac:dyDescent="0.25">
      <c r="A8" s="6" t="s">
        <v>27</v>
      </c>
      <c r="B8" s="11" t="s">
        <v>28</v>
      </c>
      <c r="C8" s="10"/>
      <c r="D8" s="10"/>
      <c r="E8" s="10"/>
      <c r="F8" s="13">
        <v>5379.05</v>
      </c>
      <c r="G8" s="13">
        <v>0</v>
      </c>
      <c r="H8" s="13">
        <v>2689.53</v>
      </c>
      <c r="I8" s="13">
        <v>0</v>
      </c>
      <c r="J8" s="13">
        <v>0</v>
      </c>
      <c r="K8" s="13">
        <f>683.14</f>
        <v>683.14</v>
      </c>
      <c r="L8" s="13">
        <v>8751.7199999999993</v>
      </c>
      <c r="M8" s="13">
        <f>571.88</f>
        <v>571.88</v>
      </c>
      <c r="N8" s="13">
        <f>425.97</f>
        <v>425.97</v>
      </c>
      <c r="O8" s="13">
        <f>162.37</f>
        <v>162.37</v>
      </c>
      <c r="P8" s="13">
        <v>7591.5</v>
      </c>
      <c r="Q8" s="14"/>
      <c r="S8" s="13"/>
    </row>
    <row r="9" spans="1:19" x14ac:dyDescent="0.25">
      <c r="A9" s="6" t="s">
        <v>29</v>
      </c>
      <c r="B9" s="11" t="s">
        <v>30</v>
      </c>
      <c r="C9" s="10"/>
      <c r="D9" s="10"/>
      <c r="E9" s="10"/>
      <c r="F9" s="13">
        <v>4462.62</v>
      </c>
      <c r="G9" s="13">
        <v>0</v>
      </c>
      <c r="H9" s="13">
        <v>4183.71</v>
      </c>
      <c r="I9" s="13">
        <f>5578.28</f>
        <v>5578.28</v>
      </c>
      <c r="J9" s="13">
        <v>0</v>
      </c>
      <c r="K9" s="13">
        <f>331.14</f>
        <v>331.14</v>
      </c>
      <c r="L9" s="13">
        <v>14555.75</v>
      </c>
      <c r="M9" s="13">
        <v>0</v>
      </c>
      <c r="N9" s="13">
        <f>696.95</f>
        <v>696.95</v>
      </c>
      <c r="O9" s="13">
        <f>1</f>
        <v>1</v>
      </c>
      <c r="P9" s="13">
        <v>13857.8</v>
      </c>
      <c r="Q9" s="14"/>
      <c r="S9" s="13"/>
    </row>
    <row r="10" spans="1:19" x14ac:dyDescent="0.25">
      <c r="A10" s="6" t="s">
        <v>31</v>
      </c>
      <c r="B10" s="11" t="s">
        <v>32</v>
      </c>
      <c r="C10" s="10"/>
      <c r="D10" s="10"/>
      <c r="E10" s="10"/>
      <c r="F10" s="13">
        <v>1804.7</v>
      </c>
      <c r="G10" s="13">
        <v>0</v>
      </c>
      <c r="H10" s="13">
        <v>1804.7</v>
      </c>
      <c r="I10" s="13">
        <f>2406.27</f>
        <v>2406.27</v>
      </c>
      <c r="J10" s="13">
        <v>0</v>
      </c>
      <c r="K10" s="13">
        <f>627.73</f>
        <v>627.73</v>
      </c>
      <c r="L10" s="13">
        <v>6643.4</v>
      </c>
      <c r="M10" s="13">
        <f>408.35</f>
        <v>408.35</v>
      </c>
      <c r="N10" s="13">
        <v>0</v>
      </c>
      <c r="O10" s="13">
        <v>55.14</v>
      </c>
      <c r="P10" s="13">
        <v>6179.91</v>
      </c>
      <c r="Q10" s="14"/>
      <c r="S10" s="13"/>
    </row>
    <row r="11" spans="1:19" x14ac:dyDescent="0.25">
      <c r="A11" s="6" t="s">
        <v>33</v>
      </c>
      <c r="B11" s="11" t="s">
        <v>34</v>
      </c>
      <c r="C11" s="10"/>
      <c r="D11" s="10"/>
      <c r="E11" s="10"/>
      <c r="F11" s="13">
        <v>0</v>
      </c>
      <c r="G11" s="13">
        <f>5558.73</f>
        <v>5558.73</v>
      </c>
      <c r="H11" s="13">
        <v>2779.37</v>
      </c>
      <c r="I11" s="13">
        <v>0</v>
      </c>
      <c r="J11" s="13">
        <v>0</v>
      </c>
      <c r="K11" s="13">
        <f>141</f>
        <v>141</v>
      </c>
      <c r="L11" s="13">
        <v>8479.1</v>
      </c>
      <c r="M11" s="13">
        <f>597.03</f>
        <v>597.03</v>
      </c>
      <c r="N11" s="13">
        <f>468.47</f>
        <v>468.47</v>
      </c>
      <c r="O11" s="13">
        <f>1</f>
        <v>1</v>
      </c>
      <c r="P11" s="13">
        <v>7412.6</v>
      </c>
      <c r="Q11" s="14"/>
      <c r="S11" s="13"/>
    </row>
    <row r="12" spans="1:19" x14ac:dyDescent="0.25">
      <c r="A12" s="6" t="s">
        <v>35</v>
      </c>
      <c r="B12" s="11" t="s">
        <v>36</v>
      </c>
      <c r="C12" s="10"/>
      <c r="D12" s="10"/>
      <c r="E12" s="10"/>
      <c r="F12" s="13">
        <v>0</v>
      </c>
      <c r="G12" s="13">
        <f>1804.7</f>
        <v>1804.7</v>
      </c>
      <c r="H12" s="13">
        <v>902.35</v>
      </c>
      <c r="I12" s="13">
        <v>0</v>
      </c>
      <c r="J12" s="13">
        <v>0</v>
      </c>
      <c r="K12" s="13">
        <f>331.14</f>
        <v>331.14</v>
      </c>
      <c r="L12" s="13">
        <v>3038.19</v>
      </c>
      <c r="M12" s="13">
        <v>0</v>
      </c>
      <c r="N12" s="13">
        <v>0</v>
      </c>
      <c r="O12" s="13">
        <v>0</v>
      </c>
      <c r="P12" s="13">
        <v>3038.19</v>
      </c>
      <c r="Q12" s="14"/>
      <c r="S12" s="13"/>
    </row>
    <row r="13" spans="1:19" x14ac:dyDescent="0.25">
      <c r="A13" s="6" t="s">
        <v>37</v>
      </c>
      <c r="B13" s="11" t="s">
        <v>38</v>
      </c>
      <c r="C13" s="10"/>
      <c r="D13" s="10"/>
      <c r="E13" s="10"/>
      <c r="F13" s="13">
        <v>8075.89</v>
      </c>
      <c r="G13" s="13">
        <v>0</v>
      </c>
      <c r="H13" s="13">
        <v>4037.95</v>
      </c>
      <c r="I13" s="13">
        <v>0</v>
      </c>
      <c r="J13" s="13">
        <v>0</v>
      </c>
      <c r="K13" s="13">
        <f>331.14</f>
        <v>331.14</v>
      </c>
      <c r="L13" s="13">
        <v>12444.98</v>
      </c>
      <c r="M13" s="13">
        <f>908.85</f>
        <v>908.85</v>
      </c>
      <c r="N13" s="13">
        <f>1074.94</f>
        <v>1074.94</v>
      </c>
      <c r="O13" s="13">
        <f>1</f>
        <v>1</v>
      </c>
      <c r="P13" s="13">
        <v>10460.19</v>
      </c>
      <c r="Q13" s="14"/>
      <c r="S13" s="13"/>
    </row>
    <row r="14" spans="1:19" x14ac:dyDescent="0.25">
      <c r="A14" s="6" t="s">
        <v>39</v>
      </c>
      <c r="B14" s="11" t="s">
        <v>40</v>
      </c>
      <c r="C14" s="10"/>
      <c r="D14" s="10"/>
      <c r="E14" s="10"/>
      <c r="F14" s="13">
        <v>8367.42</v>
      </c>
      <c r="G14" s="13">
        <v>0</v>
      </c>
      <c r="H14" s="13">
        <v>4183.71</v>
      </c>
      <c r="I14" s="13">
        <v>0</v>
      </c>
      <c r="J14" s="13">
        <v>0</v>
      </c>
      <c r="K14" s="13">
        <f>331.14</f>
        <v>331.14</v>
      </c>
      <c r="L14" s="13">
        <v>12882.27</v>
      </c>
      <c r="M14" s="13">
        <f>908.85</f>
        <v>908.85</v>
      </c>
      <c r="N14" s="13">
        <f>1102.97</f>
        <v>1102.97</v>
      </c>
      <c r="O14" s="13">
        <f>1</f>
        <v>1</v>
      </c>
      <c r="P14" s="13">
        <v>10869.45</v>
      </c>
      <c r="Q14" s="14"/>
      <c r="S14" s="13"/>
    </row>
    <row r="15" spans="1:19" x14ac:dyDescent="0.25">
      <c r="A15" s="6" t="s">
        <v>41</v>
      </c>
      <c r="B15" s="11" t="s">
        <v>42</v>
      </c>
      <c r="C15" s="10"/>
      <c r="D15" s="10"/>
      <c r="E15" s="10"/>
      <c r="F15" s="13">
        <v>4481.59</v>
      </c>
      <c r="G15" s="13">
        <v>0</v>
      </c>
      <c r="H15" s="13">
        <v>2240.8000000000002</v>
      </c>
      <c r="I15" s="13">
        <v>0</v>
      </c>
      <c r="J15" s="13">
        <v>0</v>
      </c>
      <c r="K15" s="13">
        <f>352</f>
        <v>352</v>
      </c>
      <c r="L15" s="13">
        <v>7074.39</v>
      </c>
      <c r="M15" s="13">
        <f>446.23</f>
        <v>446.23</v>
      </c>
      <c r="N15" s="13">
        <f>218.51</f>
        <v>218.51</v>
      </c>
      <c r="O15" s="13">
        <f>135.45</f>
        <v>135.44999999999999</v>
      </c>
      <c r="P15" s="13">
        <v>6274.2</v>
      </c>
      <c r="Q15" s="14"/>
      <c r="S15" s="13"/>
    </row>
    <row r="16" spans="1:19" x14ac:dyDescent="0.25">
      <c r="A16" s="6" t="s">
        <v>43</v>
      </c>
      <c r="B16" s="11" t="s">
        <v>44</v>
      </c>
      <c r="C16" s="10"/>
      <c r="D16" s="10"/>
      <c r="E16" s="10"/>
      <c r="F16" s="13">
        <v>3259.54</v>
      </c>
      <c r="G16" s="13">
        <f>1804.7</f>
        <v>1804.7</v>
      </c>
      <c r="H16" s="13">
        <v>2532.12</v>
      </c>
      <c r="I16" s="13">
        <v>0</v>
      </c>
      <c r="J16" s="13">
        <v>0</v>
      </c>
      <c r="K16" s="13">
        <f>1063.14</f>
        <v>1063.1400000000001</v>
      </c>
      <c r="L16" s="13">
        <v>8659.5</v>
      </c>
      <c r="M16" s="13">
        <f>527.8</f>
        <v>527.79999999999995</v>
      </c>
      <c r="N16" s="13">
        <f>349.6</f>
        <v>349.6</v>
      </c>
      <c r="O16" s="13">
        <f>638.79</f>
        <v>638.79</v>
      </c>
      <c r="P16" s="13">
        <v>7143.31</v>
      </c>
      <c r="Q16" s="14"/>
      <c r="S16" s="13"/>
    </row>
    <row r="17" spans="1:19" x14ac:dyDescent="0.25">
      <c r="A17" s="6" t="s">
        <v>45</v>
      </c>
      <c r="B17" s="11" t="s">
        <v>46</v>
      </c>
      <c r="C17" s="10"/>
      <c r="D17" s="10"/>
      <c r="E17" s="10"/>
      <c r="F17" s="13">
        <v>6116.01</v>
      </c>
      <c r="G17" s="13">
        <f>1804.7</f>
        <v>1804.7</v>
      </c>
      <c r="H17" s="13">
        <v>3960.36</v>
      </c>
      <c r="I17" s="13">
        <v>0</v>
      </c>
      <c r="J17" s="13">
        <v>0</v>
      </c>
      <c r="K17" s="13">
        <f>533.52</f>
        <v>533.52</v>
      </c>
      <c r="L17" s="13">
        <v>12414.59</v>
      </c>
      <c r="M17" s="13">
        <f>908.85</f>
        <v>908.85</v>
      </c>
      <c r="N17" s="13">
        <f>980.12</f>
        <v>980.12</v>
      </c>
      <c r="O17" s="13">
        <f>184.48</f>
        <v>184.48</v>
      </c>
      <c r="P17" s="13">
        <v>10341.14</v>
      </c>
      <c r="Q17" s="14"/>
      <c r="S17" s="13"/>
    </row>
    <row r="18" spans="1:19" x14ac:dyDescent="0.25">
      <c r="A18" s="6" t="s">
        <v>47</v>
      </c>
      <c r="B18" s="11" t="s">
        <v>48</v>
      </c>
      <c r="C18" s="10"/>
      <c r="D18" s="10"/>
      <c r="E18" s="10"/>
      <c r="F18" s="13">
        <v>3609.4</v>
      </c>
      <c r="G18" s="13">
        <v>0</v>
      </c>
      <c r="H18" s="13">
        <v>1804.7</v>
      </c>
      <c r="I18" s="13">
        <v>0</v>
      </c>
      <c r="J18" s="13">
        <v>0</v>
      </c>
      <c r="K18" s="13">
        <f>593.52</f>
        <v>593.52</v>
      </c>
      <c r="L18" s="13">
        <v>6007.62</v>
      </c>
      <c r="M18" s="13">
        <f>331.94</f>
        <v>331.94</v>
      </c>
      <c r="N18" s="13">
        <f>75.25</f>
        <v>75.25</v>
      </c>
      <c r="O18" s="13">
        <f>109.28</f>
        <v>109.28</v>
      </c>
      <c r="P18" s="13">
        <v>5491.15</v>
      </c>
      <c r="Q18" s="14"/>
      <c r="S18" s="13"/>
    </row>
    <row r="19" spans="1:19" x14ac:dyDescent="0.25">
      <c r="A19" s="6" t="s">
        <v>49</v>
      </c>
      <c r="B19" s="11" t="s">
        <v>50</v>
      </c>
      <c r="C19" s="10"/>
      <c r="D19" s="10"/>
      <c r="E19" s="10"/>
      <c r="F19" s="13">
        <v>2924.8</v>
      </c>
      <c r="G19" s="13">
        <v>0</v>
      </c>
      <c r="H19" s="13">
        <v>974.93</v>
      </c>
      <c r="I19" s="13">
        <v>0</v>
      </c>
      <c r="J19" s="13">
        <v>0</v>
      </c>
      <c r="K19" s="13">
        <f>352</f>
        <v>352</v>
      </c>
      <c r="L19" s="13">
        <v>4251.7299999999996</v>
      </c>
      <c r="M19" s="13">
        <f>249.79</f>
        <v>249.79</v>
      </c>
      <c r="N19" s="13">
        <v>0</v>
      </c>
      <c r="O19" s="13">
        <f>88.74</f>
        <v>88.74</v>
      </c>
      <c r="P19" s="13">
        <v>3913.2</v>
      </c>
      <c r="Q19" s="14"/>
      <c r="S19" s="13"/>
    </row>
    <row r="20" spans="1:19" x14ac:dyDescent="0.25">
      <c r="A20" s="6" t="s">
        <v>51</v>
      </c>
      <c r="B20" s="11" t="s">
        <v>52</v>
      </c>
      <c r="C20" s="10"/>
      <c r="D20" s="10"/>
      <c r="E20" s="10"/>
      <c r="F20" s="13">
        <v>2406.27</v>
      </c>
      <c r="G20" s="13">
        <v>0</v>
      </c>
      <c r="H20" s="13">
        <v>1804.7</v>
      </c>
      <c r="I20" s="13">
        <f>2406.26</f>
        <v>2406.2600000000002</v>
      </c>
      <c r="J20" s="13">
        <v>0</v>
      </c>
      <c r="K20" s="13">
        <f>569.69</f>
        <v>569.69000000000005</v>
      </c>
      <c r="L20" s="13">
        <v>7186.92</v>
      </c>
      <c r="M20" s="13">
        <f>380.27</f>
        <v>380.27</v>
      </c>
      <c r="N20" s="13">
        <v>0</v>
      </c>
      <c r="O20" s="13">
        <f>73.19</f>
        <v>73.19</v>
      </c>
      <c r="P20" s="13">
        <v>6733.46</v>
      </c>
      <c r="Q20" s="14"/>
      <c r="S20" s="13"/>
    </row>
    <row r="21" spans="1:19" x14ac:dyDescent="0.25">
      <c r="A21" s="6" t="s">
        <v>53</v>
      </c>
      <c r="B21" s="11" t="s">
        <v>54</v>
      </c>
      <c r="C21" s="10"/>
      <c r="D21" s="10"/>
      <c r="E21" s="10"/>
      <c r="F21" s="13">
        <v>3609.4</v>
      </c>
      <c r="G21" s="13">
        <v>0</v>
      </c>
      <c r="H21" s="13">
        <v>1804.7</v>
      </c>
      <c r="I21" s="13">
        <v>0</v>
      </c>
      <c r="J21" s="13">
        <v>0</v>
      </c>
      <c r="K21" s="13">
        <f>639.04</f>
        <v>639.04</v>
      </c>
      <c r="L21" s="13">
        <v>6053.14</v>
      </c>
      <c r="M21" s="13">
        <f>331.94</f>
        <v>331.94</v>
      </c>
      <c r="N21" s="13">
        <f>75.25</f>
        <v>75.25</v>
      </c>
      <c r="O21" s="13">
        <f>109.28</f>
        <v>109.28</v>
      </c>
      <c r="P21" s="13">
        <v>5536.67</v>
      </c>
      <c r="Q21" s="14"/>
      <c r="S21" s="13"/>
    </row>
    <row r="22" spans="1:19" x14ac:dyDescent="0.25">
      <c r="A22" s="6" t="s">
        <v>55</v>
      </c>
      <c r="B22" s="11" t="s">
        <v>56</v>
      </c>
      <c r="C22" s="10"/>
      <c r="D22" s="10"/>
      <c r="E22" s="10"/>
      <c r="F22" s="13">
        <v>9705.0300000000007</v>
      </c>
      <c r="G22" s="13">
        <f>1804.7</f>
        <v>1804.7</v>
      </c>
      <c r="H22" s="13">
        <v>5754.87</v>
      </c>
      <c r="I22" s="13">
        <v>0</v>
      </c>
      <c r="J22" s="13">
        <v>0</v>
      </c>
      <c r="K22" s="13">
        <f>331.14</f>
        <v>331.14</v>
      </c>
      <c r="L22" s="13">
        <v>17595.740000000002</v>
      </c>
      <c r="M22" s="13">
        <f>908.85</f>
        <v>908.85</v>
      </c>
      <c r="N22" s="13">
        <f>2019.24</f>
        <v>2019.24</v>
      </c>
      <c r="O22" s="13">
        <f>1</f>
        <v>1</v>
      </c>
      <c r="P22" s="13">
        <v>14666.65</v>
      </c>
      <c r="Q22" s="14"/>
      <c r="S22" s="13"/>
    </row>
    <row r="23" spans="1:19" x14ac:dyDescent="0.25">
      <c r="A23" s="6" t="s">
        <v>57</v>
      </c>
      <c r="B23" s="11" t="s">
        <v>58</v>
      </c>
      <c r="C23" s="10"/>
      <c r="D23" s="10"/>
      <c r="E23" s="10"/>
      <c r="F23" s="13">
        <v>2406.27</v>
      </c>
      <c r="G23" s="13">
        <v>0</v>
      </c>
      <c r="H23" s="13">
        <v>1804.7</v>
      </c>
      <c r="I23" s="13">
        <f>2406.26</f>
        <v>2406.2600000000002</v>
      </c>
      <c r="J23" s="13">
        <v>0</v>
      </c>
      <c r="K23" s="13">
        <f>683.14</f>
        <v>683.14</v>
      </c>
      <c r="L23" s="13">
        <v>7300.37</v>
      </c>
      <c r="M23" s="13">
        <f>380.27</f>
        <v>380.27</v>
      </c>
      <c r="N23" s="13">
        <v>0</v>
      </c>
      <c r="O23" s="13">
        <v>73.19</v>
      </c>
      <c r="P23" s="13">
        <v>6846.91</v>
      </c>
      <c r="Q23" s="14"/>
      <c r="S23" s="13"/>
    </row>
    <row r="24" spans="1:19" x14ac:dyDescent="0.25">
      <c r="A24" s="6" t="s">
        <v>59</v>
      </c>
      <c r="B24" s="11" t="s">
        <v>60</v>
      </c>
      <c r="C24" s="10"/>
      <c r="D24" s="10"/>
      <c r="E24" s="10"/>
      <c r="F24" s="13">
        <v>1437.1</v>
      </c>
      <c r="G24" s="13">
        <v>0</v>
      </c>
      <c r="H24" s="13">
        <v>332.66</v>
      </c>
      <c r="I24" s="13">
        <v>0</v>
      </c>
      <c r="J24" s="13">
        <v>0</v>
      </c>
      <c r="K24" s="13">
        <v>0</v>
      </c>
      <c r="L24" s="13">
        <v>1769.76</v>
      </c>
      <c r="M24" s="13">
        <f>47.9</f>
        <v>47.9</v>
      </c>
      <c r="N24" s="13">
        <v>0</v>
      </c>
      <c r="O24" s="13">
        <f>1</f>
        <v>1</v>
      </c>
      <c r="P24" s="13">
        <v>1720.86</v>
      </c>
      <c r="Q24" s="14"/>
      <c r="S24" s="13"/>
    </row>
    <row r="25" spans="1:19" x14ac:dyDescent="0.25">
      <c r="A25" s="6" t="s">
        <v>61</v>
      </c>
      <c r="B25" s="11" t="s">
        <v>62</v>
      </c>
      <c r="C25" s="10"/>
      <c r="D25" s="10"/>
      <c r="E25" s="10"/>
      <c r="F25" s="13">
        <v>5379.05</v>
      </c>
      <c r="G25" s="13">
        <v>0</v>
      </c>
      <c r="H25" s="13">
        <v>2689.53</v>
      </c>
      <c r="I25" s="13">
        <v>0</v>
      </c>
      <c r="J25" s="13">
        <v>0</v>
      </c>
      <c r="K25" s="13">
        <f>616.55</f>
        <v>616.54999999999995</v>
      </c>
      <c r="L25" s="13">
        <v>8685.1299999999992</v>
      </c>
      <c r="M25" s="13">
        <f>571.88</f>
        <v>571.88</v>
      </c>
      <c r="N25" s="13">
        <f>425.97</f>
        <v>425.97</v>
      </c>
      <c r="O25" s="13">
        <v>162.37</v>
      </c>
      <c r="P25" s="13">
        <v>7524.91</v>
      </c>
      <c r="Q25" s="14"/>
      <c r="S25" s="13"/>
    </row>
    <row r="26" spans="1:19" x14ac:dyDescent="0.25">
      <c r="A26" s="6" t="s">
        <v>63</v>
      </c>
      <c r="B26" s="11" t="s">
        <v>64</v>
      </c>
      <c r="C26" s="10"/>
      <c r="D26" s="10"/>
      <c r="E26" s="10"/>
      <c r="F26" s="13">
        <v>5379.05</v>
      </c>
      <c r="G26" s="13">
        <v>0</v>
      </c>
      <c r="H26" s="13">
        <v>2689.53</v>
      </c>
      <c r="I26" s="13">
        <v>0</v>
      </c>
      <c r="J26" s="13">
        <v>0</v>
      </c>
      <c r="K26" s="13">
        <v>0</v>
      </c>
      <c r="L26" s="13">
        <v>8068.58</v>
      </c>
      <c r="M26" s="13">
        <f>571.88</f>
        <v>571.88</v>
      </c>
      <c r="N26" s="13">
        <f>425.97</f>
        <v>425.97</v>
      </c>
      <c r="O26" s="13">
        <f>1</f>
        <v>1</v>
      </c>
      <c r="P26" s="13">
        <v>7069.73</v>
      </c>
      <c r="Q26" s="14"/>
      <c r="S26" s="13"/>
    </row>
    <row r="27" spans="1:19" x14ac:dyDescent="0.25">
      <c r="A27" s="6" t="s">
        <v>65</v>
      </c>
      <c r="B27" s="11" t="s">
        <v>66</v>
      </c>
      <c r="C27" s="10"/>
      <c r="D27" s="10"/>
      <c r="E27" s="10"/>
      <c r="F27" s="13">
        <v>3609.4</v>
      </c>
      <c r="G27" s="13">
        <v>0</v>
      </c>
      <c r="H27" s="13">
        <v>1804.7</v>
      </c>
      <c r="I27" s="13">
        <v>0</v>
      </c>
      <c r="J27" s="13">
        <v>0</v>
      </c>
      <c r="K27" s="13">
        <f>623.29</f>
        <v>623.29</v>
      </c>
      <c r="L27" s="13">
        <v>6037.39</v>
      </c>
      <c r="M27" s="13">
        <f>331.94</f>
        <v>331.94</v>
      </c>
      <c r="N27" s="13">
        <f>75.25</f>
        <v>75.25</v>
      </c>
      <c r="O27" s="13">
        <f>109.28</f>
        <v>109.28</v>
      </c>
      <c r="P27" s="13">
        <v>5520.92</v>
      </c>
      <c r="Q27" s="14"/>
      <c r="S27" s="13"/>
    </row>
    <row r="28" spans="1:19" x14ac:dyDescent="0.25">
      <c r="A28" s="6" t="s">
        <v>67</v>
      </c>
      <c r="B28" s="11" t="s">
        <v>68</v>
      </c>
      <c r="C28" s="10"/>
      <c r="D28" s="10"/>
      <c r="E28" s="10"/>
      <c r="F28" s="13">
        <v>3259.54</v>
      </c>
      <c r="G28" s="13">
        <f>902.35</f>
        <v>902.35</v>
      </c>
      <c r="H28" s="13">
        <v>2080.9499999999998</v>
      </c>
      <c r="I28" s="13">
        <v>0</v>
      </c>
      <c r="J28" s="13">
        <v>0</v>
      </c>
      <c r="K28" s="13">
        <f>683.14</f>
        <v>683.14</v>
      </c>
      <c r="L28" s="13">
        <v>6925.98</v>
      </c>
      <c r="M28" s="13">
        <v>401.48</v>
      </c>
      <c r="N28" s="13">
        <f>158.12</f>
        <v>158.12</v>
      </c>
      <c r="O28" s="13">
        <f>98.79</f>
        <v>98.79</v>
      </c>
      <c r="P28" s="13">
        <v>6267.59</v>
      </c>
      <c r="Q28" s="14"/>
      <c r="S28" s="13"/>
    </row>
    <row r="29" spans="1:19" x14ac:dyDescent="0.25">
      <c r="A29" s="6" t="s">
        <v>69</v>
      </c>
      <c r="B29" s="11" t="s">
        <v>70</v>
      </c>
      <c r="C29" s="10"/>
      <c r="D29" s="10"/>
      <c r="E29" s="10"/>
      <c r="F29" s="13">
        <v>3259.54</v>
      </c>
      <c r="G29" s="13">
        <f>1120.39</f>
        <v>1120.3900000000001</v>
      </c>
      <c r="H29" s="13">
        <v>1629.77</v>
      </c>
      <c r="I29" s="13">
        <v>0</v>
      </c>
      <c r="J29" s="13">
        <v>0</v>
      </c>
      <c r="K29" s="13">
        <f>463.1</f>
        <v>463.1</v>
      </c>
      <c r="L29" s="13">
        <v>6472.8</v>
      </c>
      <c r="M29" s="13">
        <f>432</f>
        <v>432</v>
      </c>
      <c r="N29" s="13">
        <f>182.86</f>
        <v>182.86</v>
      </c>
      <c r="O29" s="13">
        <f>98.79</f>
        <v>98.79</v>
      </c>
      <c r="P29" s="13">
        <v>5759.15</v>
      </c>
      <c r="Q29" s="14"/>
      <c r="S29" s="13"/>
    </row>
    <row r="30" spans="1:19" x14ac:dyDescent="0.25">
      <c r="A30" s="6" t="s">
        <v>71</v>
      </c>
      <c r="B30" s="11" t="s">
        <v>72</v>
      </c>
      <c r="C30" s="10"/>
      <c r="D30" s="10"/>
      <c r="E30" s="10"/>
      <c r="F30" s="13">
        <v>2240.8000000000002</v>
      </c>
      <c r="G30" s="13">
        <v>0</v>
      </c>
      <c r="H30" s="13">
        <v>2240.8000000000002</v>
      </c>
      <c r="I30" s="13">
        <f>2987.73</f>
        <v>2987.73</v>
      </c>
      <c r="J30" s="13">
        <v>0</v>
      </c>
      <c r="K30" s="13">
        <f>545.46</f>
        <v>545.46</v>
      </c>
      <c r="L30" s="13">
        <v>8014.79</v>
      </c>
      <c r="M30" s="13">
        <f>550.81</f>
        <v>550.80999999999995</v>
      </c>
      <c r="N30" s="13">
        <f>12.28</f>
        <v>12.28</v>
      </c>
      <c r="O30" s="13">
        <v>68.22</v>
      </c>
      <c r="P30" s="13">
        <v>7383.48</v>
      </c>
      <c r="Q30" s="14"/>
      <c r="S30" s="13"/>
    </row>
    <row r="31" spans="1:19" x14ac:dyDescent="0.25">
      <c r="A31" s="6" t="s">
        <v>73</v>
      </c>
      <c r="B31" s="11" t="s">
        <v>74</v>
      </c>
      <c r="C31" s="10"/>
      <c r="D31" s="10"/>
      <c r="E31" s="10"/>
      <c r="F31" s="13">
        <v>3259.54</v>
      </c>
      <c r="G31" s="13">
        <f>1804.7</f>
        <v>1804.7</v>
      </c>
      <c r="H31" s="13">
        <v>1907.53</v>
      </c>
      <c r="I31" s="13">
        <v>0</v>
      </c>
      <c r="J31" s="13">
        <v>0</v>
      </c>
      <c r="K31" s="13">
        <f>529.13</f>
        <v>529.13</v>
      </c>
      <c r="L31" s="13">
        <v>7500.9</v>
      </c>
      <c r="M31" s="13">
        <f>527.8</f>
        <v>527.79999999999995</v>
      </c>
      <c r="N31" s="13">
        <f>349.6</f>
        <v>349.6</v>
      </c>
      <c r="O31" s="13">
        <f>98.79</f>
        <v>98.79</v>
      </c>
      <c r="P31" s="13">
        <v>6524.71</v>
      </c>
      <c r="Q31" s="14"/>
      <c r="S31" s="13"/>
    </row>
    <row r="32" spans="1:19" x14ac:dyDescent="0.25">
      <c r="A32" s="6" t="s">
        <v>75</v>
      </c>
      <c r="B32" s="11" t="s">
        <v>76</v>
      </c>
      <c r="C32" s="10"/>
      <c r="D32" s="10"/>
      <c r="E32" s="10"/>
      <c r="F32" s="13">
        <v>1925.01</v>
      </c>
      <c r="G32" s="13">
        <v>0</v>
      </c>
      <c r="H32" s="13">
        <v>1654.31</v>
      </c>
      <c r="I32" s="13">
        <f>2406.27</f>
        <v>2406.27</v>
      </c>
      <c r="J32" s="13">
        <v>0</v>
      </c>
      <c r="K32" s="13">
        <f>646.53</f>
        <v>646.53</v>
      </c>
      <c r="L32" s="13">
        <v>6632.12</v>
      </c>
      <c r="M32" s="13">
        <f>414.76</f>
        <v>414.76</v>
      </c>
      <c r="N32" s="13">
        <v>0</v>
      </c>
      <c r="O32" s="13">
        <f>58.75</f>
        <v>58.75</v>
      </c>
      <c r="P32" s="13">
        <v>6158.61</v>
      </c>
      <c r="Q32" s="14"/>
      <c r="S32" s="13"/>
    </row>
    <row r="33" spans="1:19" x14ac:dyDescent="0.25">
      <c r="A33" s="6" t="s">
        <v>77</v>
      </c>
      <c r="B33" s="11" t="s">
        <v>78</v>
      </c>
      <c r="C33" s="10"/>
      <c r="D33" s="10"/>
      <c r="E33" s="10"/>
      <c r="F33" s="13">
        <v>8087.53</v>
      </c>
      <c r="G33" s="13">
        <v>0</v>
      </c>
      <c r="H33" s="13">
        <v>4852.5200000000004</v>
      </c>
      <c r="I33" s="13">
        <f>2156.68</f>
        <v>2156.6799999999998</v>
      </c>
      <c r="J33" s="13">
        <v>0</v>
      </c>
      <c r="K33" s="13">
        <f>1591.14</f>
        <v>1591.14</v>
      </c>
      <c r="L33" s="13">
        <v>16687.87</v>
      </c>
      <c r="M33" s="13">
        <f>908.85</f>
        <v>908.85</v>
      </c>
      <c r="N33" s="13">
        <f>1073.55</f>
        <v>1073.55</v>
      </c>
      <c r="O33" s="13">
        <f>1261</f>
        <v>1261</v>
      </c>
      <c r="P33" s="13">
        <v>13444.47</v>
      </c>
      <c r="Q33" s="14"/>
      <c r="S33" s="13"/>
    </row>
    <row r="34" spans="1:19" x14ac:dyDescent="0.25">
      <c r="A34" s="6" t="s">
        <v>79</v>
      </c>
      <c r="B34" s="11" t="s">
        <v>80</v>
      </c>
      <c r="C34" s="10"/>
      <c r="D34" s="10"/>
      <c r="E34" s="10"/>
      <c r="F34" s="13">
        <v>9705.0300000000007</v>
      </c>
      <c r="G34" s="13">
        <f>902.35</f>
        <v>902.35</v>
      </c>
      <c r="H34" s="13">
        <v>5303.69</v>
      </c>
      <c r="I34" s="13">
        <v>0</v>
      </c>
      <c r="J34" s="13">
        <v>0</v>
      </c>
      <c r="K34" s="13">
        <f>871.14</f>
        <v>871.14</v>
      </c>
      <c r="L34" s="13">
        <v>16782.21</v>
      </c>
      <c r="M34" s="13">
        <f>908.85</f>
        <v>908.85</v>
      </c>
      <c r="N34" s="13">
        <f>1771.1</f>
        <v>1771.1</v>
      </c>
      <c r="O34" s="13">
        <f>541</f>
        <v>541</v>
      </c>
      <c r="P34" s="13">
        <v>13561.26</v>
      </c>
      <c r="Q34" s="14"/>
      <c r="S34" s="13"/>
    </row>
    <row r="35" spans="1:19" x14ac:dyDescent="0.25">
      <c r="A35" s="6" t="s">
        <v>81</v>
      </c>
      <c r="B35" s="11" t="s">
        <v>82</v>
      </c>
      <c r="C35" s="10"/>
      <c r="D35" s="10"/>
      <c r="E35" s="10"/>
      <c r="F35" s="13">
        <v>9705.0300000000007</v>
      </c>
      <c r="G35" s="13">
        <v>0</v>
      </c>
      <c r="H35" s="13">
        <v>4852.5200000000004</v>
      </c>
      <c r="I35" s="13">
        <v>0</v>
      </c>
      <c r="J35" s="13">
        <v>0</v>
      </c>
      <c r="K35" s="13">
        <f>1231.14</f>
        <v>1231.1400000000001</v>
      </c>
      <c r="L35" s="13">
        <v>15788.69</v>
      </c>
      <c r="M35" s="13">
        <f>908.85</f>
        <v>908.85</v>
      </c>
      <c r="N35" s="13">
        <f>1522.95</f>
        <v>1522.95</v>
      </c>
      <c r="O35" s="13">
        <f>901</f>
        <v>901</v>
      </c>
      <c r="P35" s="13">
        <v>12455.89</v>
      </c>
      <c r="Q35" s="14"/>
      <c r="S35" s="13"/>
    </row>
    <row r="36" spans="1:19" x14ac:dyDescent="0.25">
      <c r="A36" s="6" t="s">
        <v>83</v>
      </c>
      <c r="B36" s="11" t="s">
        <v>84</v>
      </c>
      <c r="C36" s="10"/>
      <c r="D36" s="10"/>
      <c r="E36" s="10"/>
      <c r="F36" s="13">
        <v>1629.77</v>
      </c>
      <c r="G36" s="13">
        <v>0</v>
      </c>
      <c r="H36" s="13">
        <v>0</v>
      </c>
      <c r="I36" s="13">
        <f>2173.03</f>
        <v>2173.0300000000002</v>
      </c>
      <c r="J36" s="13">
        <v>0</v>
      </c>
      <c r="K36" s="13">
        <f>411.14</f>
        <v>411.14</v>
      </c>
      <c r="L36" s="13">
        <f>4213.94</f>
        <v>4213.9399999999996</v>
      </c>
      <c r="M36" s="13">
        <v>355.15</v>
      </c>
      <c r="N36" s="13">
        <v>0</v>
      </c>
      <c r="O36" s="13">
        <f>7.52</f>
        <v>7.52</v>
      </c>
      <c r="P36" s="13">
        <v>3851.27</v>
      </c>
      <c r="Q36" s="14"/>
      <c r="S36" s="13"/>
    </row>
    <row r="37" spans="1:19" x14ac:dyDescent="0.25">
      <c r="A37" s="6" t="s">
        <v>85</v>
      </c>
      <c r="B37" s="11" t="s">
        <v>86</v>
      </c>
      <c r="C37" s="10"/>
      <c r="D37" s="10"/>
      <c r="E37" s="10"/>
      <c r="F37" s="13">
        <v>9705.0300000000007</v>
      </c>
      <c r="G37" s="13">
        <v>0</v>
      </c>
      <c r="H37" s="13">
        <v>4852.5200000000004</v>
      </c>
      <c r="I37" s="13">
        <v>0</v>
      </c>
      <c r="J37" s="13">
        <v>0</v>
      </c>
      <c r="K37" s="13">
        <f>321.26</f>
        <v>321.26</v>
      </c>
      <c r="L37" s="13">
        <v>14878.81</v>
      </c>
      <c r="M37" s="13">
        <f>908.85</f>
        <v>908.85</v>
      </c>
      <c r="N37" s="13">
        <f>1470.81</f>
        <v>1470.81</v>
      </c>
      <c r="O37" s="13">
        <f>1</f>
        <v>1</v>
      </c>
      <c r="P37" s="13">
        <f>F37+G37+H37+I37+J37+K37-M37-N37-O37</f>
        <v>12498.150000000001</v>
      </c>
      <c r="Q37" s="14"/>
      <c r="S37" s="13"/>
    </row>
    <row r="38" spans="1:19" x14ac:dyDescent="0.25">
      <c r="A38" s="6" t="s">
        <v>87</v>
      </c>
      <c r="B38" s="11" t="s">
        <v>88</v>
      </c>
      <c r="C38" s="10"/>
      <c r="D38" s="10"/>
      <c r="E38" s="10"/>
      <c r="F38" s="13">
        <v>500</v>
      </c>
      <c r="G38" s="13">
        <v>0</v>
      </c>
      <c r="H38" s="13">
        <v>0</v>
      </c>
      <c r="I38" s="13">
        <v>0</v>
      </c>
      <c r="J38" s="13">
        <v>0</v>
      </c>
      <c r="K38" s="13">
        <f>95.94</f>
        <v>95.94</v>
      </c>
      <c r="L38" s="13">
        <f>595.94</f>
        <v>595.94000000000005</v>
      </c>
      <c r="M38" s="13">
        <v>0</v>
      </c>
      <c r="N38" s="13">
        <v>0</v>
      </c>
      <c r="O38" s="13">
        <v>0</v>
      </c>
      <c r="P38" s="13">
        <f>595.94</f>
        <v>595.94000000000005</v>
      </c>
      <c r="Q38" s="14"/>
      <c r="S38" s="13"/>
    </row>
    <row r="39" spans="1:19" x14ac:dyDescent="0.25">
      <c r="A39" s="6" t="s">
        <v>89</v>
      </c>
      <c r="B39" s="11" t="s">
        <v>90</v>
      </c>
      <c r="C39" s="10"/>
      <c r="D39" s="10"/>
      <c r="E39" s="10"/>
      <c r="F39" s="13">
        <v>1629.77</v>
      </c>
      <c r="G39" s="13">
        <v>0</v>
      </c>
      <c r="H39" s="13">
        <v>1629.77</v>
      </c>
      <c r="I39" s="13">
        <f>2173.03</f>
        <v>2173.0300000000002</v>
      </c>
      <c r="J39" s="13">
        <v>0</v>
      </c>
      <c r="K39" s="13">
        <f>675.31</f>
        <v>675.31</v>
      </c>
      <c r="L39" s="13">
        <v>6107.88</v>
      </c>
      <c r="M39" s="13">
        <f>355.15</f>
        <v>355.15</v>
      </c>
      <c r="N39" s="13">
        <v>0</v>
      </c>
      <c r="O39" s="13">
        <f>49.89</f>
        <v>49.89</v>
      </c>
      <c r="P39" s="13">
        <v>5702.84</v>
      </c>
      <c r="Q39" s="14"/>
      <c r="S39" s="13"/>
    </row>
    <row r="40" spans="1:19" x14ac:dyDescent="0.25">
      <c r="A40" s="6" t="s">
        <v>91</v>
      </c>
      <c r="B40" s="11" t="s">
        <v>92</v>
      </c>
      <c r="C40" s="10"/>
      <c r="D40" s="10"/>
      <c r="E40" s="10"/>
      <c r="F40" s="13">
        <v>9705.0300000000007</v>
      </c>
      <c r="G40" s="13">
        <v>0</v>
      </c>
      <c r="H40" s="13">
        <v>4852.5200000000004</v>
      </c>
      <c r="I40" s="13">
        <v>0</v>
      </c>
      <c r="J40" s="13">
        <v>0</v>
      </c>
      <c r="K40" s="13">
        <f>331.14</f>
        <v>331.14</v>
      </c>
      <c r="L40" s="13">
        <v>14888.69</v>
      </c>
      <c r="M40" s="13">
        <f>908.85</f>
        <v>908.85</v>
      </c>
      <c r="N40" s="13">
        <f>1522.95</f>
        <v>1522.95</v>
      </c>
      <c r="O40" s="13">
        <f>1</f>
        <v>1</v>
      </c>
      <c r="P40" s="13">
        <v>12455.89</v>
      </c>
      <c r="Q40" s="14"/>
      <c r="S40" s="13"/>
    </row>
    <row r="41" spans="1:19" x14ac:dyDescent="0.25">
      <c r="A41" s="6" t="s">
        <v>93</v>
      </c>
      <c r="B41" s="11" t="s">
        <v>94</v>
      </c>
      <c r="C41" s="10"/>
      <c r="D41" s="10"/>
      <c r="E41" s="10"/>
      <c r="F41" s="13">
        <v>3785.26</v>
      </c>
      <c r="G41" s="13">
        <v>0</v>
      </c>
      <c r="H41" s="13">
        <v>1577.19</v>
      </c>
      <c r="I41" s="13">
        <v>0</v>
      </c>
      <c r="J41" s="13">
        <v>0</v>
      </c>
      <c r="K41" s="13">
        <f>331.14</f>
        <v>331.14</v>
      </c>
      <c r="L41" s="13">
        <v>5693.59</v>
      </c>
      <c r="M41" s="13">
        <f>353.04</f>
        <v>353.04</v>
      </c>
      <c r="N41" s="13">
        <f>101.63</f>
        <v>101.63</v>
      </c>
      <c r="O41" s="13">
        <f>1</f>
        <v>1</v>
      </c>
      <c r="P41" s="13">
        <v>5237.92</v>
      </c>
      <c r="Q41" s="14"/>
      <c r="S41" s="13"/>
    </row>
    <row r="42" spans="1:19" x14ac:dyDescent="0.25">
      <c r="A42" s="6" t="s">
        <v>95</v>
      </c>
      <c r="B42" s="11" t="s">
        <v>96</v>
      </c>
      <c r="C42" s="10"/>
      <c r="D42" s="10"/>
      <c r="E42" s="10"/>
      <c r="F42" s="13">
        <v>331.7</v>
      </c>
      <c r="G42" s="13">
        <v>0</v>
      </c>
      <c r="H42" s="13">
        <v>331.7</v>
      </c>
      <c r="I42" s="13">
        <f>442.27</f>
        <v>442.27</v>
      </c>
      <c r="J42" s="13">
        <v>0</v>
      </c>
      <c r="K42" s="13">
        <f>176</f>
        <v>176</v>
      </c>
      <c r="L42" s="13">
        <v>1281.67</v>
      </c>
      <c r="M42" s="13">
        <f>58.04</f>
        <v>58.04</v>
      </c>
      <c r="N42" s="13">
        <v>0</v>
      </c>
      <c r="O42" s="13">
        <f>9.95</f>
        <v>9.9499999999999993</v>
      </c>
      <c r="P42" s="13">
        <v>1213.68</v>
      </c>
      <c r="Q42" s="14"/>
      <c r="S42" s="13"/>
    </row>
    <row r="43" spans="1:19" x14ac:dyDescent="0.25">
      <c r="A43" s="6" t="s">
        <v>97</v>
      </c>
      <c r="B43" s="11" t="s">
        <v>98</v>
      </c>
      <c r="C43" s="10"/>
      <c r="D43" s="10"/>
      <c r="E43" s="10"/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4"/>
      <c r="S43" s="13"/>
    </row>
    <row r="44" spans="1:19" x14ac:dyDescent="0.25">
      <c r="A44" s="6" t="s">
        <v>99</v>
      </c>
      <c r="B44" s="11" t="s">
        <v>100</v>
      </c>
      <c r="C44" s="10"/>
      <c r="D44" s="10"/>
      <c r="E44" s="10"/>
      <c r="F44" s="13">
        <v>5407.52</v>
      </c>
      <c r="G44" s="13">
        <v>0</v>
      </c>
      <c r="H44" s="13">
        <v>2253.13</v>
      </c>
      <c r="I44" s="13">
        <v>0</v>
      </c>
      <c r="J44" s="13">
        <v>0</v>
      </c>
      <c r="K44" s="13">
        <f>1339.92</f>
        <v>1339.92</v>
      </c>
      <c r="L44" s="13">
        <v>9000.57</v>
      </c>
      <c r="M44" s="13">
        <f>575.86</f>
        <v>575.86</v>
      </c>
      <c r="N44" s="13">
        <f>432.71</f>
        <v>432.71</v>
      </c>
      <c r="O44" s="13">
        <f>1081</f>
        <v>1081</v>
      </c>
      <c r="P44" s="13">
        <v>6911</v>
      </c>
      <c r="Q44" s="14"/>
      <c r="S44" s="13"/>
    </row>
    <row r="45" spans="1:19" x14ac:dyDescent="0.25">
      <c r="A45" s="6" t="s">
        <v>101</v>
      </c>
      <c r="B45" s="11" t="s">
        <v>102</v>
      </c>
      <c r="C45" s="10"/>
      <c r="D45" s="10"/>
      <c r="E45" s="10"/>
      <c r="F45" s="13">
        <v>3259.54</v>
      </c>
      <c r="G45" s="13">
        <f>902.35</f>
        <v>902.35</v>
      </c>
      <c r="H45" s="13">
        <v>2080.9499999999998</v>
      </c>
      <c r="I45" s="13">
        <v>0</v>
      </c>
      <c r="J45" s="13">
        <v>0</v>
      </c>
      <c r="K45" s="13">
        <f>676.32</f>
        <v>676.32</v>
      </c>
      <c r="L45" s="13">
        <v>6919.16</v>
      </c>
      <c r="M45" s="13">
        <f>401.48</f>
        <v>401.48</v>
      </c>
      <c r="N45" s="13">
        <f>158.12</f>
        <v>158.12</v>
      </c>
      <c r="O45" s="13">
        <f>98.79</f>
        <v>98.79</v>
      </c>
      <c r="P45" s="13">
        <v>6260.77</v>
      </c>
      <c r="Q45" s="14"/>
      <c r="S45" s="13"/>
    </row>
    <row r="46" spans="1:19" x14ac:dyDescent="0.25">
      <c r="A46" s="6" t="s">
        <v>103</v>
      </c>
      <c r="B46" s="11" t="s">
        <v>104</v>
      </c>
      <c r="C46" s="10"/>
      <c r="D46" s="10"/>
      <c r="E46" s="10"/>
      <c r="F46" s="13">
        <v>1847.07</v>
      </c>
      <c r="G46" s="13">
        <v>0</v>
      </c>
      <c r="H46" s="13">
        <v>0</v>
      </c>
      <c r="I46" s="13">
        <v>0</v>
      </c>
      <c r="J46" s="13">
        <v>0</v>
      </c>
      <c r="K46" s="13">
        <f>476.51</f>
        <v>476.51</v>
      </c>
      <c r="L46" s="13">
        <f>2323.58</f>
        <v>2323.58</v>
      </c>
      <c r="M46" s="13">
        <f>198.15</f>
        <v>198.15</v>
      </c>
      <c r="N46" s="13">
        <v>0</v>
      </c>
      <c r="O46" s="13">
        <f>56.41</f>
        <v>56.41</v>
      </c>
      <c r="P46" s="13">
        <f>2069.02</f>
        <v>2069.02</v>
      </c>
      <c r="Q46" s="14"/>
      <c r="S46" s="13"/>
    </row>
    <row r="47" spans="1:19" x14ac:dyDescent="0.25">
      <c r="A47" s="6" t="s">
        <v>105</v>
      </c>
      <c r="B47" s="11" t="s">
        <v>106</v>
      </c>
      <c r="C47" s="10"/>
      <c r="D47" s="10"/>
      <c r="E47" s="10"/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f>263.51</f>
        <v>263.51</v>
      </c>
      <c r="L47" s="13">
        <f>263.51</f>
        <v>263.51</v>
      </c>
      <c r="M47" s="13">
        <v>0</v>
      </c>
      <c r="N47" s="13">
        <v>0</v>
      </c>
      <c r="O47" s="13">
        <v>0</v>
      </c>
      <c r="P47" s="13">
        <f>263.51</f>
        <v>263.51</v>
      </c>
      <c r="Q47" s="14"/>
      <c r="S47" s="13"/>
    </row>
    <row r="48" spans="1:19" x14ac:dyDescent="0.25">
      <c r="A48" s="6" t="s">
        <v>107</v>
      </c>
      <c r="B48" s="11" t="s">
        <v>108</v>
      </c>
      <c r="C48" s="10"/>
      <c r="D48" s="10"/>
      <c r="E48" s="10"/>
      <c r="F48" s="13">
        <v>3259.54</v>
      </c>
      <c r="G48" s="13">
        <f>481.25</f>
        <v>481.25</v>
      </c>
      <c r="H48" s="13">
        <v>2080.9499999999998</v>
      </c>
      <c r="I48" s="13">
        <f>2774.6</f>
        <v>2774.6</v>
      </c>
      <c r="J48" s="13">
        <v>0</v>
      </c>
      <c r="K48" s="13">
        <f>304</f>
        <v>304</v>
      </c>
      <c r="L48" s="13">
        <v>8900.34</v>
      </c>
      <c r="M48" s="13">
        <f>505.98</f>
        <v>505.98</v>
      </c>
      <c r="N48" s="13">
        <v>0</v>
      </c>
      <c r="O48" s="13">
        <f>53.15</f>
        <v>53.15</v>
      </c>
      <c r="P48" s="13">
        <v>8341.2099999999991</v>
      </c>
      <c r="Q48" s="14"/>
      <c r="S48" s="13"/>
    </row>
    <row r="49" spans="1:19" x14ac:dyDescent="0.25">
      <c r="A49" s="6" t="s">
        <v>111</v>
      </c>
      <c r="B49" s="11" t="s">
        <v>112</v>
      </c>
      <c r="C49" s="10"/>
      <c r="D49" s="10"/>
      <c r="E49" s="10"/>
      <c r="F49" s="13">
        <v>3259.54</v>
      </c>
      <c r="G49" s="13">
        <v>0</v>
      </c>
      <c r="H49" s="13">
        <v>1629.77</v>
      </c>
      <c r="I49" s="13">
        <v>0</v>
      </c>
      <c r="J49" s="13">
        <v>0</v>
      </c>
      <c r="K49" s="13">
        <f>683.14</f>
        <v>683.14</v>
      </c>
      <c r="L49" s="13">
        <v>5572.45</v>
      </c>
      <c r="M49" s="13">
        <f>289.96</f>
        <v>289.95999999999998</v>
      </c>
      <c r="N49" s="13">
        <f>32.67</f>
        <v>32.67</v>
      </c>
      <c r="O49" s="13">
        <f>98.79</f>
        <v>98.79</v>
      </c>
      <c r="P49" s="13">
        <v>5151.03</v>
      </c>
      <c r="Q49" s="14"/>
      <c r="S49" s="13"/>
    </row>
    <row r="50" spans="1:19" x14ac:dyDescent="0.25">
      <c r="A50" s="6" t="s">
        <v>113</v>
      </c>
      <c r="B50" s="11" t="s">
        <v>114</v>
      </c>
      <c r="C50" s="10"/>
      <c r="D50" s="10"/>
      <c r="E50" s="10"/>
      <c r="F50" s="13">
        <v>3259.54</v>
      </c>
      <c r="G50" s="13">
        <v>902.34</v>
      </c>
      <c r="H50" s="13">
        <v>2080.9499999999998</v>
      </c>
      <c r="I50" s="13">
        <v>0</v>
      </c>
      <c r="J50" s="13">
        <v>0</v>
      </c>
      <c r="K50" s="13">
        <f>475.14</f>
        <v>475.14</v>
      </c>
      <c r="L50" s="13">
        <v>6717.98</v>
      </c>
      <c r="M50" s="13">
        <f>401.48</f>
        <v>401.48</v>
      </c>
      <c r="N50" s="13">
        <f>154.18</f>
        <v>154.18</v>
      </c>
      <c r="O50" s="13">
        <f>98.79</f>
        <v>98.79</v>
      </c>
      <c r="P50" s="13">
        <v>6063.53</v>
      </c>
      <c r="Q50" s="14"/>
      <c r="R50" s="14"/>
      <c r="S50" s="13"/>
    </row>
    <row r="51" spans="1:19" x14ac:dyDescent="0.25">
      <c r="B51" s="9" t="s">
        <v>115</v>
      </c>
      <c r="C51" s="10"/>
      <c r="D51" s="10"/>
      <c r="E51" s="10"/>
      <c r="F51" s="13">
        <f>SUM(F8:F50)</f>
        <v>171433.92000000004</v>
      </c>
      <c r="G51" s="13">
        <f>SUM(G8:G50)</f>
        <v>19793.259999999998</v>
      </c>
      <c r="H51" s="13">
        <f>SUM(H8:H50)</f>
        <v>98671.16</v>
      </c>
      <c r="I51" s="13">
        <f>SUM(I8:I50)</f>
        <v>27910.679999999997</v>
      </c>
      <c r="J51" s="13">
        <v>0</v>
      </c>
      <c r="K51" s="13">
        <f>SUM(K8:K50)</f>
        <v>22254.709999999992</v>
      </c>
      <c r="L51" s="13">
        <f>SUM(L8:L50)</f>
        <v>340063.74000000005</v>
      </c>
      <c r="M51" s="13">
        <f>SUM(M8:M50)</f>
        <v>19749.89</v>
      </c>
      <c r="N51" s="13">
        <f>SUM(N8:N50)</f>
        <v>17357.990000000002</v>
      </c>
      <c r="O51" s="13">
        <f>SUM(O8:O50)</f>
        <v>6592.19</v>
      </c>
      <c r="P51" s="13">
        <f>SUM(P8:P50)</f>
        <v>296363.6700000001</v>
      </c>
      <c r="Q51" s="14"/>
      <c r="S51" s="14"/>
    </row>
    <row r="52" spans="1:19" x14ac:dyDescent="0.25">
      <c r="A52" s="11" t="s">
        <v>109</v>
      </c>
      <c r="B52" s="10"/>
      <c r="C52" s="10"/>
      <c r="D52" s="10"/>
      <c r="E52" s="7" t="s">
        <v>110</v>
      </c>
      <c r="Q52" s="3"/>
    </row>
    <row r="53" spans="1:19" x14ac:dyDescent="0.25">
      <c r="A53" s="4"/>
      <c r="Q53" s="14"/>
    </row>
    <row r="54" spans="1:19" x14ac:dyDescent="0.25">
      <c r="A54" s="4"/>
      <c r="H54" s="14"/>
    </row>
    <row r="55" spans="1:19" x14ac:dyDescent="0.25">
      <c r="A55" s="5"/>
      <c r="B55" s="9"/>
      <c r="C55" s="10"/>
      <c r="D55" s="10"/>
      <c r="E55" s="10"/>
      <c r="F55" s="5"/>
      <c r="G55" s="5"/>
      <c r="H55" s="15"/>
      <c r="I55" s="5"/>
      <c r="J55" s="5"/>
      <c r="K55" s="5"/>
      <c r="L55" s="5"/>
      <c r="M55" s="5"/>
      <c r="N55" s="15"/>
      <c r="O55" s="5"/>
      <c r="P55" s="5"/>
      <c r="R55" s="14"/>
    </row>
    <row r="56" spans="1:19" x14ac:dyDescent="0.25">
      <c r="G56" s="14"/>
      <c r="K56" s="5"/>
      <c r="L56" s="5"/>
      <c r="N56" s="14"/>
      <c r="O56" s="5"/>
      <c r="P56" s="5"/>
      <c r="R56" s="14"/>
    </row>
    <row r="57" spans="1:19" x14ac:dyDescent="0.25">
      <c r="A57" s="6"/>
      <c r="B57" s="11"/>
      <c r="C57" s="10"/>
      <c r="D57" s="10"/>
      <c r="E57" s="10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R57" s="14"/>
    </row>
    <row r="58" spans="1:19" x14ac:dyDescent="0.25">
      <c r="A58" s="6"/>
      <c r="B58" s="11"/>
      <c r="C58" s="10"/>
      <c r="D58" s="10"/>
      <c r="E58" s="10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R58" s="14"/>
    </row>
    <row r="59" spans="1:19" x14ac:dyDescent="0.25">
      <c r="B59" s="9"/>
      <c r="C59" s="10"/>
      <c r="D59" s="10"/>
      <c r="E59" s="10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R59" s="14"/>
    </row>
    <row r="60" spans="1:19" x14ac:dyDescent="0.25">
      <c r="A60" s="11"/>
      <c r="B60" s="10"/>
      <c r="C60" s="10"/>
      <c r="D60" s="10"/>
      <c r="E60" s="7"/>
      <c r="Q60" s="8"/>
      <c r="R60" s="14"/>
    </row>
    <row r="61" spans="1:19" x14ac:dyDescent="0.25">
      <c r="R61" s="14"/>
    </row>
    <row r="62" spans="1:19" x14ac:dyDescent="0.25">
      <c r="R62" s="14"/>
    </row>
    <row r="63" spans="1:19" x14ac:dyDescent="0.25">
      <c r="R63" s="14"/>
    </row>
    <row r="64" spans="1:19" x14ac:dyDescent="0.25">
      <c r="R64" s="14"/>
    </row>
    <row r="65" spans="18:18" x14ac:dyDescent="0.25">
      <c r="R65" s="14"/>
    </row>
    <row r="66" spans="18:18" x14ac:dyDescent="0.25">
      <c r="R66" s="14"/>
    </row>
    <row r="67" spans="18:18" x14ac:dyDescent="0.25">
      <c r="R67" s="14"/>
    </row>
    <row r="68" spans="18:18" x14ac:dyDescent="0.25">
      <c r="R68" s="14"/>
    </row>
    <row r="69" spans="18:18" x14ac:dyDescent="0.25">
      <c r="R69" s="14"/>
    </row>
    <row r="70" spans="18:18" x14ac:dyDescent="0.25">
      <c r="R70" s="14"/>
    </row>
    <row r="71" spans="18:18" x14ac:dyDescent="0.25">
      <c r="R71" s="14"/>
    </row>
    <row r="72" spans="18:18" x14ac:dyDescent="0.25">
      <c r="R72" s="14"/>
    </row>
    <row r="73" spans="18:18" x14ac:dyDescent="0.25">
      <c r="R73" s="14"/>
    </row>
    <row r="74" spans="18:18" x14ac:dyDescent="0.25">
      <c r="R74" s="14"/>
    </row>
    <row r="75" spans="18:18" x14ac:dyDescent="0.25">
      <c r="R75" s="14"/>
    </row>
    <row r="76" spans="18:18" x14ac:dyDescent="0.25">
      <c r="R76" s="14"/>
    </row>
    <row r="77" spans="18:18" x14ac:dyDescent="0.25">
      <c r="R77" s="14"/>
    </row>
    <row r="78" spans="18:18" x14ac:dyDescent="0.25">
      <c r="R78" s="14"/>
    </row>
    <row r="79" spans="18:18" x14ac:dyDescent="0.25">
      <c r="R79" s="14"/>
    </row>
    <row r="80" spans="18:18" x14ac:dyDescent="0.25">
      <c r="R80" s="14"/>
    </row>
    <row r="81" spans="18:18" x14ac:dyDescent="0.25">
      <c r="R81" s="14"/>
    </row>
    <row r="82" spans="18:18" x14ac:dyDescent="0.25">
      <c r="R82" s="14"/>
    </row>
    <row r="83" spans="18:18" x14ac:dyDescent="0.25">
      <c r="R83" s="14"/>
    </row>
    <row r="84" spans="18:18" x14ac:dyDescent="0.25">
      <c r="R84" s="14"/>
    </row>
    <row r="85" spans="18:18" x14ac:dyDescent="0.25">
      <c r="R85" s="14"/>
    </row>
    <row r="86" spans="18:18" x14ac:dyDescent="0.25">
      <c r="R86" s="14"/>
    </row>
    <row r="87" spans="18:18" x14ac:dyDescent="0.25">
      <c r="R87" s="14"/>
    </row>
    <row r="88" spans="18:18" x14ac:dyDescent="0.25">
      <c r="R88" s="14"/>
    </row>
    <row r="89" spans="18:18" x14ac:dyDescent="0.25">
      <c r="R89" s="14"/>
    </row>
    <row r="90" spans="18:18" x14ac:dyDescent="0.25">
      <c r="R90" s="14"/>
    </row>
    <row r="91" spans="18:18" x14ac:dyDescent="0.25">
      <c r="R91" s="14"/>
    </row>
    <row r="92" spans="18:18" x14ac:dyDescent="0.25">
      <c r="R92" s="14"/>
    </row>
    <row r="93" spans="18:18" x14ac:dyDescent="0.25">
      <c r="R93" s="14"/>
    </row>
    <row r="94" spans="18:18" x14ac:dyDescent="0.25">
      <c r="R94" s="14"/>
    </row>
    <row r="95" spans="18:18" x14ac:dyDescent="0.25">
      <c r="R95" s="14"/>
    </row>
    <row r="96" spans="18:18" x14ac:dyDescent="0.25">
      <c r="R96" s="14"/>
    </row>
    <row r="97" spans="18:18" x14ac:dyDescent="0.25">
      <c r="R97" s="14"/>
    </row>
  </sheetData>
  <mergeCells count="52">
    <mergeCell ref="B58:E58"/>
    <mergeCell ref="B59:E59"/>
    <mergeCell ref="A60:D60"/>
    <mergeCell ref="B49:E49"/>
    <mergeCell ref="B50:E50"/>
    <mergeCell ref="B51:E51"/>
    <mergeCell ref="A52:D52"/>
    <mergeCell ref="B47:E47"/>
    <mergeCell ref="B48:E48"/>
    <mergeCell ref="B55:E55"/>
    <mergeCell ref="B57:E57"/>
    <mergeCell ref="B42:E42"/>
    <mergeCell ref="B43:E43"/>
    <mergeCell ref="B44:E44"/>
    <mergeCell ref="B45:E45"/>
    <mergeCell ref="B46:E46"/>
    <mergeCell ref="B37:E37"/>
    <mergeCell ref="B38:E38"/>
    <mergeCell ref="B39:E39"/>
    <mergeCell ref="B40:E40"/>
    <mergeCell ref="B41:E41"/>
    <mergeCell ref="B32:E32"/>
    <mergeCell ref="B33:E33"/>
    <mergeCell ref="B34:E34"/>
    <mergeCell ref="B35:E35"/>
    <mergeCell ref="B36:E36"/>
    <mergeCell ref="B27:E27"/>
    <mergeCell ref="B28:E28"/>
    <mergeCell ref="B29:E29"/>
    <mergeCell ref="B30:E30"/>
    <mergeCell ref="B31:E31"/>
    <mergeCell ref="B22:E22"/>
    <mergeCell ref="B23:E23"/>
    <mergeCell ref="B24:E24"/>
    <mergeCell ref="B25:E25"/>
    <mergeCell ref="B26:E26"/>
    <mergeCell ref="B17:E17"/>
    <mergeCell ref="B18:E18"/>
    <mergeCell ref="B19:E19"/>
    <mergeCell ref="B20:E20"/>
    <mergeCell ref="B21:E21"/>
    <mergeCell ref="B12:E12"/>
    <mergeCell ref="B13:E13"/>
    <mergeCell ref="B14:E14"/>
    <mergeCell ref="B15:E15"/>
    <mergeCell ref="B16:E16"/>
    <mergeCell ref="B6:E6"/>
    <mergeCell ref="B8:E8"/>
    <mergeCell ref="B9:E9"/>
    <mergeCell ref="B10:E10"/>
    <mergeCell ref="B11:E11"/>
    <mergeCell ref="B7:E7"/>
  </mergeCells>
  <pageMargins left="0.74803149606299213" right="0.74803149606299213" top="0.98425196850393704" bottom="0.98425196850393704" header="0.51181102362204722" footer="0.5118110236220472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FortesReport</dc:creator>
  <cp:lastModifiedBy>Maria Edileusa Pereira da Rocha</cp:lastModifiedBy>
  <cp:lastPrinted>2024-07-15T14:40:37Z</cp:lastPrinted>
  <dcterms:created xsi:type="dcterms:W3CDTF">2024-07-09T09:25:03Z</dcterms:created>
  <dcterms:modified xsi:type="dcterms:W3CDTF">2024-07-15T14:42:15Z</dcterms:modified>
</cp:coreProperties>
</file>