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Contabilidade.2024\Contabilidade Kléber\Folha de Pagamento\LAI\"/>
    </mc:Choice>
  </mc:AlternateContent>
  <xr:revisionPtr revIDLastSave="0" documentId="13_ncr:1_{AE8CE453-63F6-47FC-AA3C-63A180179D4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etembro - 2024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1" i="55" l="1"/>
  <c r="N61" i="55"/>
  <c r="O61" i="55" s="1"/>
  <c r="R61" i="55" s="1"/>
  <c r="Q60" i="55"/>
  <c r="P60" i="55"/>
  <c r="M60" i="55"/>
  <c r="L60" i="55"/>
  <c r="H58" i="55"/>
  <c r="Q58" i="55"/>
  <c r="N58" i="55"/>
  <c r="G58" i="55"/>
  <c r="Q57" i="55"/>
  <c r="N57" i="55"/>
  <c r="M57" i="55"/>
  <c r="Q56" i="55"/>
  <c r="P56" i="55"/>
  <c r="N56" i="55"/>
  <c r="M56" i="55"/>
  <c r="L56" i="55"/>
  <c r="Q55" i="55"/>
  <c r="N55" i="55"/>
  <c r="M55" i="55"/>
  <c r="L55" i="55"/>
  <c r="Q54" i="55"/>
  <c r="P54" i="55"/>
  <c r="N54" i="55"/>
  <c r="Q53" i="55"/>
  <c r="P53" i="55"/>
  <c r="N53" i="55"/>
  <c r="L53" i="55"/>
  <c r="H53" i="55"/>
  <c r="G53" i="55"/>
  <c r="N52" i="55"/>
  <c r="Q52" i="55"/>
  <c r="P52" i="55"/>
  <c r="H52" i="55"/>
  <c r="G51" i="55"/>
  <c r="Q51" i="55"/>
  <c r="P51" i="55"/>
  <c r="N51" i="55"/>
  <c r="Q49" i="55"/>
  <c r="Q48" i="55"/>
  <c r="N48" i="55"/>
  <c r="M48" i="55"/>
  <c r="L48" i="55"/>
  <c r="Q47" i="55"/>
  <c r="P47" i="55"/>
  <c r="N47" i="55"/>
  <c r="P46" i="55"/>
  <c r="N46" i="55"/>
  <c r="Q46" i="55"/>
  <c r="Q45" i="55"/>
  <c r="N45" i="55"/>
  <c r="H45" i="55"/>
  <c r="Q44" i="55"/>
  <c r="P44" i="55"/>
  <c r="N44" i="55"/>
  <c r="M43" i="55"/>
  <c r="N41" i="55"/>
  <c r="P39" i="55"/>
  <c r="M39" i="55"/>
  <c r="Q37" i="55"/>
  <c r="Q36" i="55"/>
  <c r="N36" i="55"/>
  <c r="Q34" i="55"/>
  <c r="P34" i="55"/>
  <c r="N34" i="55"/>
  <c r="L34" i="55"/>
  <c r="Q33" i="55"/>
  <c r="P33" i="55"/>
  <c r="N33" i="55"/>
  <c r="L33" i="55"/>
  <c r="H33" i="55"/>
  <c r="G33" i="55"/>
  <c r="Q32" i="55"/>
  <c r="P32" i="55"/>
  <c r="N32" i="55"/>
  <c r="Q31" i="55"/>
  <c r="N31" i="55"/>
  <c r="P29" i="55"/>
  <c r="N27" i="55"/>
  <c r="Q27" i="55"/>
  <c r="P27" i="55"/>
  <c r="H27" i="55"/>
  <c r="Q26" i="55"/>
  <c r="P26" i="55"/>
  <c r="N26" i="55"/>
  <c r="M26" i="55"/>
  <c r="L26" i="55"/>
  <c r="M24" i="55"/>
  <c r="Q23" i="55"/>
  <c r="P23" i="55"/>
  <c r="N23" i="55"/>
  <c r="M23" i="55"/>
  <c r="L23" i="55"/>
  <c r="Q22" i="55"/>
  <c r="M22" i="55"/>
  <c r="L22" i="55"/>
  <c r="Q21" i="55"/>
  <c r="P21" i="55"/>
  <c r="N21" i="55"/>
  <c r="H21" i="55"/>
  <c r="Q20" i="55"/>
  <c r="P20" i="55"/>
  <c r="N20" i="55"/>
  <c r="M20" i="55"/>
  <c r="L20" i="55"/>
  <c r="Q19" i="55"/>
  <c r="P19" i="55"/>
  <c r="N19" i="55"/>
  <c r="L19" i="55"/>
  <c r="Q18" i="55"/>
  <c r="P18" i="55"/>
  <c r="N18" i="55"/>
  <c r="H18" i="55"/>
  <c r="Q16" i="55"/>
  <c r="Q15" i="55"/>
  <c r="P15" i="55"/>
  <c r="N15" i="55"/>
  <c r="P13" i="55"/>
  <c r="G13" i="55"/>
  <c r="H10" i="55"/>
  <c r="O10" i="55" s="1"/>
  <c r="Q10" i="55"/>
  <c r="P10" i="55"/>
  <c r="N10" i="55"/>
  <c r="O59" i="55"/>
  <c r="O50" i="55"/>
  <c r="O42" i="55"/>
  <c r="O40" i="55"/>
  <c r="O35" i="55"/>
  <c r="O30" i="55"/>
  <c r="O28" i="55"/>
  <c r="O25" i="55"/>
  <c r="O17" i="55"/>
  <c r="O14" i="55"/>
  <c r="O12" i="55"/>
  <c r="O52" i="55" l="1"/>
  <c r="R59" i="55"/>
  <c r="R50" i="55"/>
  <c r="R42" i="55"/>
  <c r="R40" i="55"/>
  <c r="R35" i="55"/>
  <c r="R28" i="55"/>
  <c r="R25" i="55"/>
  <c r="R17" i="55"/>
  <c r="R14" i="55"/>
  <c r="R30" i="55"/>
  <c r="O54" i="55"/>
  <c r="O46" i="55"/>
  <c r="O41" i="55"/>
  <c r="O34" i="55"/>
  <c r="O26" i="55"/>
  <c r="N60" i="55"/>
  <c r="O58" i="55"/>
  <c r="H57" i="55"/>
  <c r="H56" i="55"/>
  <c r="O56" i="55" s="1"/>
  <c r="H55" i="55"/>
  <c r="H48" i="55"/>
  <c r="O47" i="55"/>
  <c r="O45" i="55"/>
  <c r="H44" i="55"/>
  <c r="O44" i="55" s="1"/>
  <c r="H43" i="55"/>
  <c r="N39" i="55"/>
  <c r="P38" i="55"/>
  <c r="N38" i="55"/>
  <c r="O38" i="55"/>
  <c r="P37" i="55"/>
  <c r="H37" i="55"/>
  <c r="P36" i="55"/>
  <c r="N29" i="55"/>
  <c r="O29" i="55" s="1"/>
  <c r="O27" i="55"/>
  <c r="H24" i="55"/>
  <c r="H23" i="55"/>
  <c r="H22" i="55"/>
  <c r="H20" i="55"/>
  <c r="H19" i="55"/>
  <c r="O19" i="55" s="1"/>
  <c r="O18" i="55"/>
  <c r="O15" i="55"/>
  <c r="N13" i="55"/>
  <c r="O13" i="55"/>
  <c r="O53" i="55" l="1"/>
  <c r="R53" i="55" s="1"/>
  <c r="O20" i="55"/>
  <c r="R20" i="55" s="1"/>
  <c r="O48" i="55"/>
  <c r="R48" i="55" s="1"/>
  <c r="O57" i="55"/>
  <c r="O21" i="55"/>
  <c r="R21" i="55" s="1"/>
  <c r="O51" i="55"/>
  <c r="R51" i="55" s="1"/>
  <c r="O55" i="55"/>
  <c r="R55" i="55" s="1"/>
  <c r="O36" i="55"/>
  <c r="R36" i="55" s="1"/>
  <c r="O33" i="55"/>
  <c r="R33" i="55" s="1"/>
  <c r="O32" i="55"/>
  <c r="R32" i="55" s="1"/>
  <c r="O39" i="55"/>
  <c r="R39" i="55" s="1"/>
  <c r="O60" i="55"/>
  <c r="R60" i="55" s="1"/>
  <c r="O23" i="55"/>
  <c r="R23" i="55" s="1"/>
  <c r="R13" i="55"/>
  <c r="R45" i="55"/>
  <c r="R19" i="55"/>
  <c r="R27" i="55"/>
  <c r="R56" i="55"/>
  <c r="R58" i="55"/>
  <c r="R29" i="55"/>
  <c r="R46" i="55"/>
  <c r="R57" i="55"/>
  <c r="R54" i="55"/>
  <c r="R18" i="55"/>
  <c r="R47" i="55"/>
  <c r="R26" i="55"/>
  <c r="R34" i="55"/>
  <c r="R41" i="55"/>
  <c r="R15" i="55"/>
  <c r="R38" i="55"/>
  <c r="R44" i="55"/>
  <c r="R52" i="55"/>
  <c r="Q43" i="55"/>
  <c r="N24" i="55"/>
  <c r="N16" i="55"/>
  <c r="O16" i="55" s="1"/>
  <c r="R16" i="55" s="1"/>
  <c r="O24" i="55" l="1"/>
  <c r="R24" i="55" s="1"/>
  <c r="N22" i="55"/>
  <c r="O22" i="55" l="1"/>
  <c r="R22" i="55" s="1"/>
  <c r="N49" i="55"/>
  <c r="O49" i="55" l="1"/>
  <c r="R49" i="55" s="1"/>
  <c r="O31" i="55" l="1"/>
  <c r="R31" i="55" s="1"/>
  <c r="N43" i="55"/>
  <c r="N37" i="55"/>
  <c r="O43" i="55" l="1"/>
  <c r="R43" i="55" s="1"/>
  <c r="O37" i="55"/>
  <c r="R37" i="55" s="1"/>
  <c r="R10" i="55"/>
</calcChain>
</file>

<file path=xl/sharedStrings.xml><?xml version="1.0" encoding="utf-8"?>
<sst xmlns="http://schemas.openxmlformats.org/spreadsheetml/2006/main" count="202" uniqueCount="107">
  <si>
    <t>NOME</t>
  </si>
  <si>
    <t>FÉRIAS</t>
  </si>
  <si>
    <t>INSS</t>
  </si>
  <si>
    <t>GRATIFICAÇÕES</t>
  </si>
  <si>
    <t>ALDEÍSE DE ASSIS COSTA</t>
  </si>
  <si>
    <t>ANA KATARINE DE OLIVEIRA CALDEIRA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</si>
  <si>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</si>
  <si>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</si>
  <si>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</si>
  <si>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</si>
  <si>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</si>
  <si>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</si>
  <si>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</si>
  <si>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</si>
  <si>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</si>
  <si>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</si>
  <si>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</si>
  <si>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</si>
  <si>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</si>
  <si>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</si>
  <si>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</si>
  <si>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</si>
  <si>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</si>
  <si>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</si>
  <si>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</si>
  <si>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</si>
  <si>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</si>
  <si>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</si>
  <si>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</si>
  <si>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</si>
  <si>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</si>
  <si>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</si>
  <si>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</si>
  <si>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</si>
  <si>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</si>
  <si>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</si>
  <si>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</si>
  <si>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</si>
  <si>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</si>
  <si>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</si>
  <si>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</si>
  <si>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</si>
  <si>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</si>
  <si>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</si>
  <si>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</si>
  <si>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</si>
  <si>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</si>
  <si>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</si>
  <si>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</si>
  <si>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</si>
  <si>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</si>
  <si>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</si>
  <si>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</si>
  <si>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</si>
  <si>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</si>
  <si>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</si>
  <si>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</si>
  <si>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</si>
  <si>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</si>
  <si>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</si>
  <si>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</si>
  <si>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</si>
  <si>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</si>
  <si>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</si>
  <si>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</si>
  <si>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</si>
  <si>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</si>
  <si>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</si>
  <si>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</si>
  <si>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</si>
  <si>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</si>
  <si>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</si>
  <si>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</si>
  <si>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</si>
  <si>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</si>
  <si>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</si>
  <si>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</si>
  <si>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</si>
  <si>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 xml:space="preserve">* A empregada pública Ana Katarine de Oliveira Caldeira se encontra em gozo de licença para o trato de assuntos particulares, sem remuneração. 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</si>
  <si>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</si>
  <si>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</si>
  <si>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</si>
  <si>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</si>
  <si>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</si>
  <si>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</si>
  <si>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</si>
  <si>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</si>
  <si>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</si>
  <si>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</si>
  <si>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</si>
  <si>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</si>
  <si>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</si>
  <si>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</si>
  <si>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</si>
  <si>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</si>
  <si>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</si>
  <si>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</si>
  <si>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</si>
  <si>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</si>
  <si>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</si>
  <si>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ISMARA GALDINO DA SILVA</t>
  </si>
  <si>
    <t>CHEFE DA DIVISÃO DE AUDITORIA INTERNA</t>
  </si>
  <si>
    <t>REMUNERAÇÃO REFERENTE À FOLHA DE PAGAMENTO DE NOVEMBRO/2024 - CONSELHO REGIONAL DE ENFERMAGEM DO RIO GRANDE DO NORTE</t>
  </si>
  <si>
    <t>VIVIANE DA SILVA CARVALHO</t>
  </si>
  <si>
    <t>13º SALÁRIO (1ª PARCELA)</t>
  </si>
  <si>
    <t>ENFERMEIRO</t>
  </si>
  <si>
    <t>COORDENADOR DA DIVISÃO DE PROCESSO 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</si>
</sst>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43" fontId="1" fillId="0" borderId="0" xfId="0" applyNumberFormat="1" applyFont="1"/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43" fontId="4" fillId="0" borderId="8" xfId="1" applyFont="1" applyBorder="1" applyAlignment="1">
      <alignment horizontal="left"/>
    </xf>
    <xf numFmtId="43" fontId="4" fillId="0" borderId="8" xfId="1" applyFont="1" applyBorder="1"/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0" fontId="4" fillId="0" borderId="5" xfId="0" applyFont="1" applyBorder="1"/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43" fontId="4" fillId="0" borderId="1" xfId="1" applyFont="1" applyBorder="1" applyAlignment="1">
      <alignment horizontal="right"/>
    </xf>
    <xf numFmtId="43" fontId="8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14" fontId="4" fillId="0" borderId="8" xfId="0" applyNumberFormat="1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43" fontId="5" fillId="0" borderId="11" xfId="1" applyFont="1" applyBorder="1"/>
    <xf numFmtId="43" fontId="5" fillId="0" borderId="12" xfId="1" applyFont="1" applyBorder="1" applyAlignment="1"/>
    <xf numFmtId="43" fontId="4" fillId="0" borderId="0" xfId="1" applyFont="1" applyBorder="1" applyAlignment="1"/>
    <xf numFmtId="43" fontId="5" fillId="0" borderId="2" xfId="1" applyFont="1" applyBorder="1" applyAlignment="1"/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0" fontId="4" fillId="0" borderId="4" xfId="0" applyFont="1" applyBorder="1" applyAlignment="1">
      <alignment horizontal="left"/>
    </xf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0" borderId="9" xfId="0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4" fillId="0" borderId="4" xfId="0" applyFont="1" applyBorder="1"/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3" fillId="3" borderId="1" xfId="0" applyFont="1" applyFill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T90"/>
  <sheetViews>
    <sheetView tabSelected="1" topLeftCell="A52" workbookViewId="0">
      <selection activeCell="D66" sqref="D66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12.5703125" customWidth="1"/>
    <col min="11" max="11" width="21.7109375" bestFit="1" customWidth="1"/>
    <col min="12" max="12" width="11" customWidth="1"/>
    <col min="13" max="13" width="10" customWidth="1"/>
    <col min="14" max="14" width="28.28515625" customWidth="1"/>
    <col min="15" max="15" width="27" customWidth="1"/>
    <col min="16" max="16" width="20.85546875" customWidth="1"/>
    <col min="17" max="17" width="18" customWidth="1"/>
    <col min="18" max="18" width="13.42578125" customWidth="1"/>
  </cols>
  <sheetData>
    <row r="7" spans="1:18" x14ac:dyDescent="0.25">
      <c r="A7" s="129" t="s">
        <v>102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1"/>
    </row>
    <row r="8" spans="1:18" x14ac:dyDescent="0.25">
      <c r="A8" s="3"/>
      <c r="B8" s="3"/>
      <c r="C8" s="3"/>
      <c r="D8" s="3"/>
      <c r="E8" s="3"/>
      <c r="F8" s="3"/>
      <c r="G8" s="124" t="s">
        <v>40</v>
      </c>
      <c r="H8" s="124"/>
      <c r="I8" s="3" t="s">
        <v>79</v>
      </c>
      <c r="J8" s="124" t="s">
        <v>42</v>
      </c>
      <c r="K8" s="124"/>
      <c r="L8" s="124" t="s">
        <v>43</v>
      </c>
      <c r="M8" s="124"/>
      <c r="N8" s="3" t="s">
        <v>68</v>
      </c>
      <c r="O8" s="3" t="s">
        <v>44</v>
      </c>
      <c r="P8" s="3" t="s">
        <v>45</v>
      </c>
      <c r="Q8" s="3" t="s">
        <v>46</v>
      </c>
      <c r="R8" s="3" t="s">
        <v>69</v>
      </c>
    </row>
    <row r="9" spans="1:18" x14ac:dyDescent="0.25">
      <c r="A9" s="9" t="s">
        <v>0</v>
      </c>
      <c r="B9" s="9" t="s">
        <v>71</v>
      </c>
      <c r="C9" s="9" t="s">
        <v>66</v>
      </c>
      <c r="D9" s="9" t="s">
        <v>47</v>
      </c>
      <c r="E9" s="9" t="s">
        <v>48</v>
      </c>
      <c r="F9" s="9" t="s">
        <v>41</v>
      </c>
      <c r="G9" s="9" t="s">
        <v>70</v>
      </c>
      <c r="H9" s="9" t="s">
        <v>3</v>
      </c>
      <c r="I9" s="9"/>
      <c r="J9" s="9" t="s">
        <v>1</v>
      </c>
      <c r="K9" s="9" t="s">
        <v>104</v>
      </c>
      <c r="L9" s="9" t="s">
        <v>2</v>
      </c>
      <c r="M9" s="9" t="s">
        <v>67</v>
      </c>
      <c r="N9" s="9"/>
      <c r="O9" s="9"/>
      <c r="P9" s="9"/>
      <c r="Q9" s="9"/>
      <c r="R9" s="9"/>
    </row>
    <row r="10" spans="1:18" s="8" customFormat="1" x14ac:dyDescent="0.25">
      <c r="A10" s="14" t="s">
        <v>4</v>
      </c>
      <c r="B10" s="15" t="s">
        <v>62</v>
      </c>
      <c r="C10" s="15" t="s">
        <v>49</v>
      </c>
      <c r="D10" s="15" t="s">
        <v>81</v>
      </c>
      <c r="E10" s="16">
        <v>41218</v>
      </c>
      <c r="F10" s="17">
        <v>3743.05</v>
      </c>
      <c r="G10" s="17">
        <v>3743.05</v>
      </c>
      <c r="H10" s="17">
        <f>224.58+187.15+299.44+3715.5</f>
        <v>4426.67</v>
      </c>
      <c r="I10" s="17"/>
      <c r="J10" s="17"/>
      <c r="K10" s="18"/>
      <c r="L10" s="18">
        <v>908.85</v>
      </c>
      <c r="M10" s="18">
        <v>1100.74</v>
      </c>
      <c r="N10" s="19">
        <f>1+93.58</f>
        <v>94.58</v>
      </c>
      <c r="O10" s="18">
        <f>G10+H10+I10+J10+K10-L10-M10-N10</f>
        <v>6065.55</v>
      </c>
      <c r="P10" s="20">
        <f>942.4+163.5</f>
        <v>1105.9000000000001</v>
      </c>
      <c r="Q10" s="19">
        <f>1048.36+353.26+37.43</f>
        <v>1439.05</v>
      </c>
      <c r="R10" s="21">
        <f>O10+P10-Q10</f>
        <v>5732.4000000000005</v>
      </c>
    </row>
    <row r="11" spans="1:18" s="8" customFormat="1" x14ac:dyDescent="0.25">
      <c r="A11" s="22"/>
      <c r="B11" s="22"/>
      <c r="C11" s="22"/>
      <c r="D11" s="22" t="s">
        <v>73</v>
      </c>
      <c r="E11" s="23"/>
      <c r="F11" s="24"/>
      <c r="G11" s="24"/>
      <c r="H11" s="24"/>
      <c r="I11" s="24"/>
      <c r="J11" s="24"/>
      <c r="K11" s="25"/>
      <c r="L11" s="25"/>
      <c r="M11" s="25"/>
      <c r="N11" s="25"/>
      <c r="O11" s="25"/>
      <c r="P11" s="25"/>
      <c r="Q11" s="25"/>
      <c r="R11" s="25"/>
    </row>
    <row r="12" spans="1:18" x14ac:dyDescent="0.25">
      <c r="A12" s="26" t="s">
        <v>5</v>
      </c>
      <c r="B12" s="27" t="s">
        <v>62</v>
      </c>
      <c r="C12" s="27" t="s">
        <v>51</v>
      </c>
      <c r="D12" s="22" t="s">
        <v>51</v>
      </c>
      <c r="E12" s="28">
        <v>41488</v>
      </c>
      <c r="F12" s="29">
        <v>5465.81</v>
      </c>
      <c r="G12" s="30">
        <v>0</v>
      </c>
      <c r="H12" s="30">
        <v>0</v>
      </c>
      <c r="I12" s="30"/>
      <c r="J12" s="30"/>
      <c r="K12" s="31"/>
      <c r="L12" s="31"/>
      <c r="M12" s="31"/>
      <c r="N12" s="31"/>
      <c r="O12" s="18">
        <f t="shared" ref="O12:O43" si="0">G12+H12+I12+J12+K12-L12-M12-N12</f>
        <v>0</v>
      </c>
      <c r="P12" s="31"/>
      <c r="Q12" s="31"/>
      <c r="R12" s="31"/>
    </row>
    <row r="13" spans="1:18" x14ac:dyDescent="0.25">
      <c r="A13" s="14" t="s">
        <v>97</v>
      </c>
      <c r="B13" s="15" t="s">
        <v>62</v>
      </c>
      <c r="C13" s="15" t="s">
        <v>99</v>
      </c>
      <c r="D13" s="15" t="s">
        <v>98</v>
      </c>
      <c r="E13" s="16">
        <v>45551</v>
      </c>
      <c r="F13" s="32">
        <v>2340.77</v>
      </c>
      <c r="G13" s="33">
        <f>2340.77</f>
        <v>2340.77</v>
      </c>
      <c r="H13" s="33"/>
      <c r="I13" s="34"/>
      <c r="J13" s="33"/>
      <c r="K13" s="21">
        <v>390.13</v>
      </c>
      <c r="L13" s="21">
        <v>189.48</v>
      </c>
      <c r="M13" s="21">
        <v>0</v>
      </c>
      <c r="N13" s="35">
        <f>1+58.52</f>
        <v>59.52</v>
      </c>
      <c r="O13" s="18">
        <f t="shared" si="0"/>
        <v>2481.9</v>
      </c>
      <c r="P13" s="36">
        <f>942.4+135</f>
        <v>1077.4000000000001</v>
      </c>
      <c r="Q13" s="35"/>
      <c r="R13" s="21">
        <f t="shared" ref="R13:R60" si="1">O13+P13-Q13</f>
        <v>3559.3</v>
      </c>
    </row>
    <row r="14" spans="1:18" x14ac:dyDescent="0.25">
      <c r="A14" s="37"/>
      <c r="B14" s="22"/>
      <c r="C14" s="22"/>
      <c r="D14" s="38" t="s">
        <v>74</v>
      </c>
      <c r="E14" s="23"/>
      <c r="F14" s="39"/>
      <c r="G14" s="40"/>
      <c r="H14" s="40"/>
      <c r="I14" s="34"/>
      <c r="J14" s="40"/>
      <c r="K14" s="41"/>
      <c r="L14" s="41"/>
      <c r="M14" s="41"/>
      <c r="N14" s="42"/>
      <c r="O14" s="25">
        <f t="shared" si="0"/>
        <v>0</v>
      </c>
      <c r="P14" s="43"/>
      <c r="Q14" s="42"/>
      <c r="R14" s="41">
        <f t="shared" si="1"/>
        <v>0</v>
      </c>
    </row>
    <row r="15" spans="1:18" x14ac:dyDescent="0.25">
      <c r="A15" s="37" t="s">
        <v>6</v>
      </c>
      <c r="B15" s="22" t="s">
        <v>64</v>
      </c>
      <c r="C15" s="22" t="s">
        <v>50</v>
      </c>
      <c r="D15" s="15" t="s">
        <v>50</v>
      </c>
      <c r="E15" s="23">
        <v>41445</v>
      </c>
      <c r="F15" s="39">
        <v>2720.08</v>
      </c>
      <c r="G15" s="40">
        <v>2720.08</v>
      </c>
      <c r="H15" s="40"/>
      <c r="I15" s="40"/>
      <c r="J15" s="40"/>
      <c r="K15" s="41"/>
      <c r="L15" s="41">
        <v>225.22</v>
      </c>
      <c r="M15" s="41"/>
      <c r="N15" s="41">
        <f>1+68</f>
        <v>69</v>
      </c>
      <c r="O15" s="44">
        <f t="shared" si="0"/>
        <v>2425.86</v>
      </c>
      <c r="P15" s="41">
        <f>942.4+135</f>
        <v>1077.4000000000001</v>
      </c>
      <c r="Q15" s="41">
        <f>27.2</f>
        <v>27.2</v>
      </c>
      <c r="R15" s="31">
        <f t="shared" si="1"/>
        <v>3476.0600000000004</v>
      </c>
    </row>
    <row r="16" spans="1:18" x14ac:dyDescent="0.25">
      <c r="A16" s="45" t="s">
        <v>7</v>
      </c>
      <c r="B16" s="15" t="s">
        <v>62</v>
      </c>
      <c r="C16" s="15" t="s">
        <v>52</v>
      </c>
      <c r="D16" s="15" t="s">
        <v>93</v>
      </c>
      <c r="E16" s="16">
        <v>36087</v>
      </c>
      <c r="F16" s="46">
        <v>7431</v>
      </c>
      <c r="G16" s="46">
        <v>7431</v>
      </c>
      <c r="H16" s="127"/>
      <c r="I16" s="17"/>
      <c r="J16" s="127"/>
      <c r="K16" s="125"/>
      <c r="L16" s="20">
        <v>859.15</v>
      </c>
      <c r="M16" s="20">
        <v>911.26</v>
      </c>
      <c r="N16" s="47">
        <f>1</f>
        <v>1</v>
      </c>
      <c r="O16" s="18">
        <f t="shared" si="0"/>
        <v>5659.59</v>
      </c>
      <c r="P16" s="36">
        <v>942.4</v>
      </c>
      <c r="Q16" s="35">
        <f>74.31</f>
        <v>74.31</v>
      </c>
      <c r="R16" s="21">
        <f t="shared" si="1"/>
        <v>6527.6799999999994</v>
      </c>
    </row>
    <row r="17" spans="1:18" x14ac:dyDescent="0.25">
      <c r="A17" s="48"/>
      <c r="B17" s="48"/>
      <c r="C17" s="48"/>
      <c r="D17" s="22" t="s">
        <v>73</v>
      </c>
      <c r="E17" s="49"/>
      <c r="F17" s="50"/>
      <c r="G17" s="50"/>
      <c r="H17" s="128"/>
      <c r="I17" s="24"/>
      <c r="J17" s="128"/>
      <c r="K17" s="126"/>
      <c r="L17" s="51"/>
      <c r="M17" s="51"/>
      <c r="N17" s="52"/>
      <c r="O17" s="25">
        <f t="shared" si="0"/>
        <v>0</v>
      </c>
      <c r="P17" s="43"/>
      <c r="Q17" s="42"/>
      <c r="R17" s="41">
        <f t="shared" si="1"/>
        <v>0</v>
      </c>
    </row>
    <row r="18" spans="1:18" x14ac:dyDescent="0.25">
      <c r="A18" s="53" t="s">
        <v>8</v>
      </c>
      <c r="B18" s="54" t="s">
        <v>62</v>
      </c>
      <c r="C18" s="54" t="s">
        <v>53</v>
      </c>
      <c r="D18" s="22" t="s">
        <v>53</v>
      </c>
      <c r="E18" s="55">
        <v>41218</v>
      </c>
      <c r="F18" s="56">
        <v>1996.2</v>
      </c>
      <c r="G18" s="57">
        <v>1996.2</v>
      </c>
      <c r="H18" s="57">
        <f>99.81+159.7</f>
        <v>259.51</v>
      </c>
      <c r="I18" s="57">
        <v>0</v>
      </c>
      <c r="J18" s="57"/>
      <c r="K18" s="58"/>
      <c r="L18" s="58">
        <v>181.83</v>
      </c>
      <c r="M18" s="58"/>
      <c r="N18" s="58">
        <f>1+49.91</f>
        <v>50.91</v>
      </c>
      <c r="O18" s="44">
        <f t="shared" si="0"/>
        <v>2022.97</v>
      </c>
      <c r="P18" s="58">
        <f>942.4+135</f>
        <v>1077.4000000000001</v>
      </c>
      <c r="Q18" s="58">
        <f>332.54+19.96</f>
        <v>352.5</v>
      </c>
      <c r="R18" s="31">
        <f t="shared" si="1"/>
        <v>2747.87</v>
      </c>
    </row>
    <row r="19" spans="1:18" x14ac:dyDescent="0.25">
      <c r="A19" s="53" t="s">
        <v>9</v>
      </c>
      <c r="B19" s="54" t="s">
        <v>62</v>
      </c>
      <c r="C19" s="54" t="s">
        <v>53</v>
      </c>
      <c r="D19" s="54" t="s">
        <v>53</v>
      </c>
      <c r="E19" s="55">
        <v>41548</v>
      </c>
      <c r="F19" s="56">
        <v>1938.06</v>
      </c>
      <c r="G19" s="57">
        <v>1938.06</v>
      </c>
      <c r="H19" s="57">
        <f>96.9+155.04+1336.85</f>
        <v>1588.79</v>
      </c>
      <c r="I19" s="57">
        <v>0</v>
      </c>
      <c r="J19" s="57"/>
      <c r="K19" s="58"/>
      <c r="L19" s="58">
        <f>322.04</f>
        <v>322.04000000000002</v>
      </c>
      <c r="M19" s="58">
        <v>62.87</v>
      </c>
      <c r="N19" s="58">
        <f>1+48.45</f>
        <v>49.45</v>
      </c>
      <c r="O19" s="18">
        <f t="shared" si="0"/>
        <v>3092.4900000000002</v>
      </c>
      <c r="P19" s="58">
        <f>942.4+135</f>
        <v>1077.4000000000001</v>
      </c>
      <c r="Q19" s="58">
        <f>19.38</f>
        <v>19.38</v>
      </c>
      <c r="R19" s="21">
        <f t="shared" si="1"/>
        <v>4150.51</v>
      </c>
    </row>
    <row r="20" spans="1:18" x14ac:dyDescent="0.25">
      <c r="A20" s="53" t="s">
        <v>10</v>
      </c>
      <c r="B20" s="54" t="s">
        <v>62</v>
      </c>
      <c r="C20" s="54" t="s">
        <v>54</v>
      </c>
      <c r="D20" s="54" t="s">
        <v>54</v>
      </c>
      <c r="E20" s="55">
        <v>37865</v>
      </c>
      <c r="F20" s="56">
        <v>6549.45</v>
      </c>
      <c r="G20" s="57">
        <v>6549.45</v>
      </c>
      <c r="H20" s="57">
        <f>327.47+523.96</f>
        <v>851.43000000000006</v>
      </c>
      <c r="I20" s="57"/>
      <c r="J20" s="59"/>
      <c r="K20" s="58"/>
      <c r="L20" s="58">
        <f>854.93</f>
        <v>854.93</v>
      </c>
      <c r="M20" s="58">
        <f>904.14</f>
        <v>904.14</v>
      </c>
      <c r="N20" s="58">
        <f>1+163.74+125.64</f>
        <v>290.38</v>
      </c>
      <c r="O20" s="18">
        <f t="shared" si="0"/>
        <v>5351.4299999999994</v>
      </c>
      <c r="P20" s="58">
        <f>942.4+232.8</f>
        <v>1175.2</v>
      </c>
      <c r="Q20" s="58">
        <f>65.49</f>
        <v>65.489999999999995</v>
      </c>
      <c r="R20" s="21">
        <f t="shared" si="1"/>
        <v>6461.1399999999994</v>
      </c>
    </row>
    <row r="21" spans="1:18" x14ac:dyDescent="0.25">
      <c r="A21" s="53" t="s">
        <v>11</v>
      </c>
      <c r="B21" s="54" t="s">
        <v>62</v>
      </c>
      <c r="C21" s="54" t="s">
        <v>50</v>
      </c>
      <c r="D21" s="54" t="s">
        <v>82</v>
      </c>
      <c r="E21" s="55">
        <v>41218</v>
      </c>
      <c r="F21" s="56">
        <v>2720.08</v>
      </c>
      <c r="G21" s="57">
        <v>2801.68</v>
      </c>
      <c r="H21" s="57">
        <f>140.08+1336.85</f>
        <v>1476.9299999999998</v>
      </c>
      <c r="I21" s="57"/>
      <c r="J21" s="57"/>
      <c r="K21" s="58"/>
      <c r="L21" s="58">
        <v>417.82</v>
      </c>
      <c r="M21" s="58">
        <v>169.24</v>
      </c>
      <c r="N21" s="58">
        <f>1+70.04</f>
        <v>71.040000000000006</v>
      </c>
      <c r="O21" s="18">
        <f t="shared" si="0"/>
        <v>3620.5099999999993</v>
      </c>
      <c r="P21" s="58">
        <f>942.4+270</f>
        <v>1212.4000000000001</v>
      </c>
      <c r="Q21" s="58">
        <f>599+121.28+118+228.44+113.76+28.02</f>
        <v>1208.5</v>
      </c>
      <c r="R21" s="21">
        <f t="shared" si="1"/>
        <v>3624.41</v>
      </c>
    </row>
    <row r="22" spans="1:18" x14ac:dyDescent="0.25">
      <c r="A22" s="53" t="s">
        <v>12</v>
      </c>
      <c r="B22" s="54" t="s">
        <v>65</v>
      </c>
      <c r="C22" s="54" t="s">
        <v>51</v>
      </c>
      <c r="D22" s="54" t="s">
        <v>51</v>
      </c>
      <c r="E22" s="55">
        <v>38908</v>
      </c>
      <c r="F22" s="56">
        <v>6856.52</v>
      </c>
      <c r="G22" s="57">
        <v>6856.52</v>
      </c>
      <c r="H22" s="57">
        <f>342.83+548.52</f>
        <v>891.34999999999991</v>
      </c>
      <c r="I22" s="57"/>
      <c r="J22" s="57"/>
      <c r="K22" s="58"/>
      <c r="L22" s="58">
        <f>903.51</f>
        <v>903.51</v>
      </c>
      <c r="M22" s="58">
        <f>934.06</f>
        <v>934.06</v>
      </c>
      <c r="N22" s="60">
        <f>1</f>
        <v>1</v>
      </c>
      <c r="O22" s="18">
        <f t="shared" si="0"/>
        <v>5909.3000000000011</v>
      </c>
      <c r="P22" s="58">
        <v>942.4</v>
      </c>
      <c r="Q22" s="58">
        <f>353.22+50.12+68.57</f>
        <v>471.91</v>
      </c>
      <c r="R22" s="21">
        <f t="shared" si="1"/>
        <v>6379.7900000000009</v>
      </c>
    </row>
    <row r="23" spans="1:18" x14ac:dyDescent="0.25">
      <c r="A23" s="14" t="s">
        <v>13</v>
      </c>
      <c r="B23" s="15" t="s">
        <v>62</v>
      </c>
      <c r="C23" s="15" t="s">
        <v>50</v>
      </c>
      <c r="D23" s="15" t="s">
        <v>50</v>
      </c>
      <c r="E23" s="16">
        <v>35916</v>
      </c>
      <c r="F23" s="32">
        <v>3655.55</v>
      </c>
      <c r="G23" s="33">
        <v>3655.55</v>
      </c>
      <c r="H23" s="33">
        <f>219.33+182.78+292.44</f>
        <v>694.55</v>
      </c>
      <c r="I23" s="33"/>
      <c r="J23" s="33"/>
      <c r="K23" s="21"/>
      <c r="L23" s="21">
        <f>387.22</f>
        <v>387.22</v>
      </c>
      <c r="M23" s="21">
        <f>112.61</f>
        <v>112.61</v>
      </c>
      <c r="N23" s="21">
        <f>1+91.39</f>
        <v>92.39</v>
      </c>
      <c r="O23" s="18">
        <f t="shared" si="0"/>
        <v>3757.88</v>
      </c>
      <c r="P23" s="21">
        <f>942.4+117</f>
        <v>1059.4000000000001</v>
      </c>
      <c r="Q23" s="21">
        <f>798.95+290.01+62.82+902.54+187.91+36.56</f>
        <v>2278.7899999999995</v>
      </c>
      <c r="R23" s="21">
        <f t="shared" si="1"/>
        <v>2538.4900000000011</v>
      </c>
    </row>
    <row r="24" spans="1:18" x14ac:dyDescent="0.25">
      <c r="A24" s="14" t="s">
        <v>14</v>
      </c>
      <c r="B24" s="15" t="s">
        <v>62</v>
      </c>
      <c r="C24" s="15" t="s">
        <v>55</v>
      </c>
      <c r="D24" s="61" t="s">
        <v>83</v>
      </c>
      <c r="E24" s="16">
        <v>41737</v>
      </c>
      <c r="F24" s="32">
        <v>7885.99</v>
      </c>
      <c r="G24" s="33">
        <v>7885.99</v>
      </c>
      <c r="H24" s="62">
        <f>394.3+788.6+3901.27</f>
        <v>5084.17</v>
      </c>
      <c r="I24" s="63"/>
      <c r="J24" s="33"/>
      <c r="K24" s="21"/>
      <c r="L24" s="21">
        <v>908.85</v>
      </c>
      <c r="M24" s="21">
        <f>2316.59</f>
        <v>2316.59</v>
      </c>
      <c r="N24" s="35">
        <f>1</f>
        <v>1</v>
      </c>
      <c r="O24" s="18">
        <f t="shared" si="0"/>
        <v>9743.7199999999993</v>
      </c>
      <c r="P24" s="36">
        <v>942.4</v>
      </c>
      <c r="Q24" s="35">
        <v>2893.54</v>
      </c>
      <c r="R24" s="21">
        <f t="shared" si="1"/>
        <v>7792.579999999999</v>
      </c>
    </row>
    <row r="25" spans="1:18" x14ac:dyDescent="0.25">
      <c r="A25" s="37"/>
      <c r="B25" s="22"/>
      <c r="C25" s="22"/>
      <c r="D25" s="64" t="s">
        <v>73</v>
      </c>
      <c r="E25" s="23"/>
      <c r="F25" s="39"/>
      <c r="G25" s="40"/>
      <c r="H25" s="65"/>
      <c r="I25" s="66"/>
      <c r="J25" s="40"/>
      <c r="K25" s="41"/>
      <c r="L25" s="41"/>
      <c r="M25" s="41"/>
      <c r="N25" s="42"/>
      <c r="O25" s="25">
        <f t="shared" si="0"/>
        <v>0</v>
      </c>
      <c r="P25" s="43"/>
      <c r="Q25" s="42"/>
      <c r="R25" s="41">
        <f t="shared" si="1"/>
        <v>0</v>
      </c>
    </row>
    <row r="26" spans="1:18" x14ac:dyDescent="0.25">
      <c r="A26" s="67" t="s">
        <v>15</v>
      </c>
      <c r="B26" s="22" t="s">
        <v>62</v>
      </c>
      <c r="C26" s="68" t="s">
        <v>56</v>
      </c>
      <c r="D26" s="68" t="s">
        <v>84</v>
      </c>
      <c r="E26" s="69">
        <v>42559</v>
      </c>
      <c r="F26" s="70">
        <v>4757.29</v>
      </c>
      <c r="G26" s="71">
        <v>4757.29</v>
      </c>
      <c r="H26" s="71">
        <v>1336.85</v>
      </c>
      <c r="I26" s="71"/>
      <c r="J26" s="71"/>
      <c r="K26" s="41"/>
      <c r="L26" s="41">
        <f>671.99</f>
        <v>671.99</v>
      </c>
      <c r="M26" s="41">
        <f>542.95</f>
        <v>542.95000000000005</v>
      </c>
      <c r="N26" s="41">
        <f>1+118.93</f>
        <v>119.93</v>
      </c>
      <c r="O26" s="44">
        <f t="shared" si="0"/>
        <v>4759.2699999999995</v>
      </c>
      <c r="P26" s="41">
        <f>942.4+174.2</f>
        <v>1116.5999999999999</v>
      </c>
      <c r="Q26" s="41">
        <f>610.22+758.27+343.21+47.57</f>
        <v>1759.27</v>
      </c>
      <c r="R26" s="31">
        <f t="shared" si="1"/>
        <v>4116.5999999999985</v>
      </c>
    </row>
    <row r="27" spans="1:18" x14ac:dyDescent="0.25">
      <c r="A27" s="45" t="s">
        <v>16</v>
      </c>
      <c r="B27" s="15" t="s">
        <v>62</v>
      </c>
      <c r="C27" s="15" t="s">
        <v>57</v>
      </c>
      <c r="D27" s="15" t="s">
        <v>85</v>
      </c>
      <c r="E27" s="16">
        <v>36951</v>
      </c>
      <c r="F27" s="46">
        <v>4603.4799999999996</v>
      </c>
      <c r="G27" s="46">
        <v>1534.49</v>
      </c>
      <c r="H27" s="46">
        <f>92.07+1238.5</f>
        <v>1330.57</v>
      </c>
      <c r="I27" s="46"/>
      <c r="J27" s="33"/>
      <c r="K27" s="125"/>
      <c r="L27" s="20">
        <v>287.82</v>
      </c>
      <c r="M27" s="20">
        <v>3.08</v>
      </c>
      <c r="N27" s="35">
        <f>1+38.36+125.64</f>
        <v>165</v>
      </c>
      <c r="O27" s="18">
        <f t="shared" si="0"/>
        <v>2409.16</v>
      </c>
      <c r="P27" s="72">
        <f>942.4+124.8</f>
        <v>1067.2</v>
      </c>
      <c r="Q27" s="35">
        <f>296.07+221.06+46.03</f>
        <v>563.16</v>
      </c>
      <c r="R27" s="21">
        <f t="shared" si="1"/>
        <v>2913.2</v>
      </c>
    </row>
    <row r="28" spans="1:18" x14ac:dyDescent="0.25">
      <c r="A28" s="73"/>
      <c r="B28" s="73"/>
      <c r="C28" s="73"/>
      <c r="D28" s="22" t="s">
        <v>73</v>
      </c>
      <c r="E28" s="74"/>
      <c r="F28" s="75"/>
      <c r="G28" s="75"/>
      <c r="H28" s="75"/>
      <c r="I28" s="75"/>
      <c r="J28" s="30"/>
      <c r="K28" s="134"/>
      <c r="L28" s="76"/>
      <c r="M28" s="76"/>
      <c r="N28" s="77"/>
      <c r="O28" s="25">
        <f t="shared" si="0"/>
        <v>0</v>
      </c>
      <c r="P28" s="78"/>
      <c r="Q28" s="77"/>
      <c r="R28" s="31">
        <f t="shared" si="1"/>
        <v>0</v>
      </c>
    </row>
    <row r="29" spans="1:18" x14ac:dyDescent="0.25">
      <c r="A29" s="45" t="s">
        <v>100</v>
      </c>
      <c r="B29" s="61" t="s">
        <v>62</v>
      </c>
      <c r="C29" s="15" t="s">
        <v>58</v>
      </c>
      <c r="D29" s="61" t="s">
        <v>101</v>
      </c>
      <c r="E29" s="16">
        <v>45566</v>
      </c>
      <c r="F29" s="46">
        <v>3901.28</v>
      </c>
      <c r="G29" s="46">
        <v>3901.28</v>
      </c>
      <c r="H29" s="46"/>
      <c r="I29" s="79"/>
      <c r="J29" s="33"/>
      <c r="K29" s="18">
        <v>487.66</v>
      </c>
      <c r="L29" s="20">
        <v>366.97</v>
      </c>
      <c r="M29" s="20">
        <v>119.03</v>
      </c>
      <c r="N29" s="35">
        <f>1+97.53</f>
        <v>98.53</v>
      </c>
      <c r="O29" s="44">
        <f t="shared" si="0"/>
        <v>3804.41</v>
      </c>
      <c r="P29" s="72">
        <f>942.4+135</f>
        <v>1077.4000000000001</v>
      </c>
      <c r="Q29" s="35"/>
      <c r="R29" s="21">
        <f t="shared" si="1"/>
        <v>4881.8099999999995</v>
      </c>
    </row>
    <row r="30" spans="1:18" x14ac:dyDescent="0.25">
      <c r="A30" s="48"/>
      <c r="B30" s="64"/>
      <c r="C30" s="48"/>
      <c r="D30" s="64" t="s">
        <v>74</v>
      </c>
      <c r="E30" s="49"/>
      <c r="F30" s="50"/>
      <c r="G30" s="50"/>
      <c r="H30" s="50"/>
      <c r="I30" s="79"/>
      <c r="J30" s="40"/>
      <c r="K30" s="25"/>
      <c r="L30" s="51"/>
      <c r="M30" s="51"/>
      <c r="N30" s="42"/>
      <c r="O30" s="25">
        <f t="shared" si="0"/>
        <v>0</v>
      </c>
      <c r="P30" s="80"/>
      <c r="Q30" s="42"/>
      <c r="R30" s="41">
        <f t="shared" si="1"/>
        <v>0</v>
      </c>
    </row>
    <row r="31" spans="1:18" x14ac:dyDescent="0.25">
      <c r="A31" s="37" t="s">
        <v>17</v>
      </c>
      <c r="B31" s="22" t="s">
        <v>65</v>
      </c>
      <c r="C31" s="22" t="s">
        <v>50</v>
      </c>
      <c r="D31" s="22" t="s">
        <v>50</v>
      </c>
      <c r="E31" s="23">
        <v>35827</v>
      </c>
      <c r="F31" s="39">
        <v>3655.55</v>
      </c>
      <c r="G31" s="40">
        <v>3655.55</v>
      </c>
      <c r="H31" s="40"/>
      <c r="I31" s="40"/>
      <c r="J31" s="40"/>
      <c r="K31" s="41"/>
      <c r="L31" s="41">
        <v>337.48</v>
      </c>
      <c r="M31" s="41">
        <v>82.17</v>
      </c>
      <c r="N31" s="41">
        <f>1+62.82</f>
        <v>63.82</v>
      </c>
      <c r="O31" s="44">
        <f t="shared" si="0"/>
        <v>3172.08</v>
      </c>
      <c r="P31" s="41">
        <v>942.4</v>
      </c>
      <c r="Q31" s="41">
        <f>656.5+36.56</f>
        <v>693.06</v>
      </c>
      <c r="R31" s="31">
        <f t="shared" si="1"/>
        <v>3421.4199999999996</v>
      </c>
    </row>
    <row r="32" spans="1:18" x14ac:dyDescent="0.25">
      <c r="A32" s="53" t="s">
        <v>18</v>
      </c>
      <c r="B32" s="54" t="s">
        <v>62</v>
      </c>
      <c r="C32" s="54" t="s">
        <v>52</v>
      </c>
      <c r="D32" s="54" t="s">
        <v>52</v>
      </c>
      <c r="E32" s="55">
        <v>38831</v>
      </c>
      <c r="F32" s="56">
        <v>2995.63</v>
      </c>
      <c r="G32" s="57">
        <v>2995.63</v>
      </c>
      <c r="H32" s="57"/>
      <c r="I32" s="57"/>
      <c r="J32" s="57">
        <v>0</v>
      </c>
      <c r="K32" s="58"/>
      <c r="L32" s="58">
        <v>258.29000000000002</v>
      </c>
      <c r="M32" s="58">
        <v>12.87</v>
      </c>
      <c r="N32" s="58">
        <f>1+74.89</f>
        <v>75.89</v>
      </c>
      <c r="O32" s="18">
        <f t="shared" si="0"/>
        <v>2648.5800000000004</v>
      </c>
      <c r="P32" s="58">
        <f>942.4+135</f>
        <v>1077.4000000000001</v>
      </c>
      <c r="Q32" s="58">
        <f>603.11+29.96</f>
        <v>633.07000000000005</v>
      </c>
      <c r="R32" s="21">
        <f t="shared" si="1"/>
        <v>3092.9100000000003</v>
      </c>
    </row>
    <row r="33" spans="1:18" x14ac:dyDescent="0.25">
      <c r="A33" s="14" t="s">
        <v>19</v>
      </c>
      <c r="B33" s="15" t="s">
        <v>62</v>
      </c>
      <c r="C33" s="15" t="s">
        <v>55</v>
      </c>
      <c r="D33" s="15" t="s">
        <v>86</v>
      </c>
      <c r="E33" s="16">
        <v>41436</v>
      </c>
      <c r="F33" s="32">
        <v>5914.49</v>
      </c>
      <c r="G33" s="33">
        <f>3154.39+150.22</f>
        <v>3304.6099999999997</v>
      </c>
      <c r="H33" s="33">
        <f>157.72+252.35+1188.31</f>
        <v>1598.3799999999999</v>
      </c>
      <c r="I33" s="57"/>
      <c r="J33" s="33"/>
      <c r="K33" s="21"/>
      <c r="L33" s="21">
        <f>516.77</f>
        <v>516.77</v>
      </c>
      <c r="M33" s="21">
        <v>238.81</v>
      </c>
      <c r="N33" s="21">
        <f>1+78.86</f>
        <v>79.86</v>
      </c>
      <c r="O33" s="18">
        <f t="shared" si="0"/>
        <v>4067.5499999999988</v>
      </c>
      <c r="P33" s="21">
        <f>942.4+1110</f>
        <v>2052.4</v>
      </c>
      <c r="Q33" s="21">
        <f>692.18+121.59+59.14</f>
        <v>872.91</v>
      </c>
      <c r="R33" s="21">
        <f t="shared" si="1"/>
        <v>5247.0399999999991</v>
      </c>
    </row>
    <row r="34" spans="1:18" x14ac:dyDescent="0.25">
      <c r="A34" s="81" t="s">
        <v>94</v>
      </c>
      <c r="B34" s="82" t="s">
        <v>62</v>
      </c>
      <c r="C34" s="82" t="s">
        <v>95</v>
      </c>
      <c r="D34" s="82" t="s">
        <v>96</v>
      </c>
      <c r="E34" s="83">
        <v>45512</v>
      </c>
      <c r="F34" s="84">
        <v>3901.28</v>
      </c>
      <c r="G34" s="62">
        <v>3901.28</v>
      </c>
      <c r="H34" s="33"/>
      <c r="I34" s="85"/>
      <c r="J34" s="62"/>
      <c r="K34" s="21">
        <v>812.77</v>
      </c>
      <c r="L34" s="21">
        <f>366.97</f>
        <v>366.97</v>
      </c>
      <c r="M34" s="21">
        <v>119.03</v>
      </c>
      <c r="N34" s="35">
        <f>1+97.53</f>
        <v>98.53</v>
      </c>
      <c r="O34" s="18">
        <f t="shared" si="0"/>
        <v>4129.5200000000004</v>
      </c>
      <c r="P34" s="36">
        <f>942.4+135</f>
        <v>1077.4000000000001</v>
      </c>
      <c r="Q34" s="35">
        <f>476.77+715.16</f>
        <v>1191.9299999999998</v>
      </c>
      <c r="R34" s="21">
        <f t="shared" si="1"/>
        <v>4014.9900000000002</v>
      </c>
    </row>
    <row r="35" spans="1:18" x14ac:dyDescent="0.25">
      <c r="A35" s="86"/>
      <c r="B35" s="38"/>
      <c r="C35" s="38"/>
      <c r="D35" s="38" t="s">
        <v>74</v>
      </c>
      <c r="E35" s="87"/>
      <c r="F35" s="88"/>
      <c r="G35" s="65"/>
      <c r="H35" s="40"/>
      <c r="I35" s="85"/>
      <c r="J35" s="65"/>
      <c r="K35" s="41"/>
      <c r="L35" s="41"/>
      <c r="M35" s="41"/>
      <c r="N35" s="42"/>
      <c r="O35" s="25">
        <f t="shared" si="0"/>
        <v>0</v>
      </c>
      <c r="P35" s="43"/>
      <c r="Q35" s="42"/>
      <c r="R35" s="41">
        <f t="shared" si="1"/>
        <v>0</v>
      </c>
    </row>
    <row r="36" spans="1:18" x14ac:dyDescent="0.25">
      <c r="A36" s="37" t="s">
        <v>20</v>
      </c>
      <c r="B36" s="22" t="s">
        <v>65</v>
      </c>
      <c r="C36" s="22" t="s">
        <v>51</v>
      </c>
      <c r="D36" s="22" t="s">
        <v>51</v>
      </c>
      <c r="E36" s="23">
        <v>41708</v>
      </c>
      <c r="F36" s="39">
        <v>7885.99</v>
      </c>
      <c r="G36" s="40">
        <v>7885.99</v>
      </c>
      <c r="H36" s="40">
        <v>630.88</v>
      </c>
      <c r="I36" s="57"/>
      <c r="J36" s="40"/>
      <c r="K36" s="41"/>
      <c r="L36" s="41">
        <v>908.85</v>
      </c>
      <c r="M36" s="41">
        <v>1091.93</v>
      </c>
      <c r="N36" s="41">
        <f>1+62.82</f>
        <v>63.82</v>
      </c>
      <c r="O36" s="44">
        <f t="shared" si="0"/>
        <v>6452.2699999999986</v>
      </c>
      <c r="P36" s="41">
        <f>942.4</f>
        <v>942.4</v>
      </c>
      <c r="Q36" s="41">
        <f>1523.06+78.86</f>
        <v>1601.9199999999998</v>
      </c>
      <c r="R36" s="31">
        <f t="shared" si="1"/>
        <v>5792.7499999999982</v>
      </c>
    </row>
    <row r="37" spans="1:18" x14ac:dyDescent="0.25">
      <c r="A37" s="89" t="s">
        <v>21</v>
      </c>
      <c r="B37" s="54" t="s">
        <v>62</v>
      </c>
      <c r="C37" s="90" t="s">
        <v>58</v>
      </c>
      <c r="D37" s="90" t="s">
        <v>58</v>
      </c>
      <c r="E37" s="91">
        <v>41830</v>
      </c>
      <c r="F37" s="92">
        <v>7656.3</v>
      </c>
      <c r="G37" s="93">
        <v>7656.3</v>
      </c>
      <c r="H37" s="93">
        <f>382.82+612.5</f>
        <v>995.31999999999994</v>
      </c>
      <c r="I37" s="93"/>
      <c r="J37" s="93"/>
      <c r="K37" s="58"/>
      <c r="L37" s="58">
        <v>908.85</v>
      </c>
      <c r="M37" s="58">
        <v>1076.8499999999999</v>
      </c>
      <c r="N37" s="58">
        <f>1</f>
        <v>1</v>
      </c>
      <c r="O37" s="18">
        <f t="shared" si="0"/>
        <v>6664.92</v>
      </c>
      <c r="P37" s="58">
        <f>942.4</f>
        <v>942.4</v>
      </c>
      <c r="Q37" s="58">
        <f>673.95+1357.32+214.09+76.56</f>
        <v>2321.92</v>
      </c>
      <c r="R37" s="21">
        <f t="shared" si="1"/>
        <v>5285.4</v>
      </c>
    </row>
    <row r="38" spans="1:18" x14ac:dyDescent="0.25">
      <c r="A38" s="53" t="s">
        <v>22</v>
      </c>
      <c r="B38" s="54" t="s">
        <v>64</v>
      </c>
      <c r="C38" s="54" t="s">
        <v>51</v>
      </c>
      <c r="D38" s="15" t="s">
        <v>51</v>
      </c>
      <c r="E38" s="55">
        <v>39022</v>
      </c>
      <c r="F38" s="56">
        <v>6656.52</v>
      </c>
      <c r="G38" s="57">
        <v>6856.52</v>
      </c>
      <c r="H38" s="57">
        <v>548.52</v>
      </c>
      <c r="I38" s="57"/>
      <c r="J38" s="57"/>
      <c r="K38" s="58"/>
      <c r="L38" s="58">
        <v>855.52</v>
      </c>
      <c r="M38" s="58">
        <v>800.84</v>
      </c>
      <c r="N38" s="58">
        <f>1</f>
        <v>1</v>
      </c>
      <c r="O38" s="18">
        <f t="shared" si="0"/>
        <v>5747.68</v>
      </c>
      <c r="P38" s="58">
        <f>942.4</f>
        <v>942.4</v>
      </c>
      <c r="Q38" s="58">
        <v>68.569999999999993</v>
      </c>
      <c r="R38" s="21">
        <f t="shared" si="1"/>
        <v>6621.51</v>
      </c>
    </row>
    <row r="39" spans="1:18" x14ac:dyDescent="0.25">
      <c r="A39" s="45" t="s">
        <v>23</v>
      </c>
      <c r="B39" s="15" t="s">
        <v>62</v>
      </c>
      <c r="C39" s="82" t="s">
        <v>72</v>
      </c>
      <c r="D39" s="15" t="s">
        <v>87</v>
      </c>
      <c r="E39" s="94">
        <v>44565</v>
      </c>
      <c r="F39" s="46">
        <v>7802.54</v>
      </c>
      <c r="G39" s="46">
        <v>6502.12</v>
      </c>
      <c r="H39" s="127"/>
      <c r="I39" s="17"/>
      <c r="J39" s="127"/>
      <c r="K39" s="125"/>
      <c r="L39" s="20">
        <v>811.32</v>
      </c>
      <c r="M39" s="20">
        <f>668.97</f>
        <v>668.97</v>
      </c>
      <c r="N39" s="47">
        <f>1</f>
        <v>1</v>
      </c>
      <c r="O39" s="18">
        <f t="shared" si="0"/>
        <v>5020.83</v>
      </c>
      <c r="P39" s="36">
        <f>942.4</f>
        <v>942.4</v>
      </c>
      <c r="Q39" s="132"/>
      <c r="R39" s="21">
        <f t="shared" si="1"/>
        <v>5963.23</v>
      </c>
    </row>
    <row r="40" spans="1:18" x14ac:dyDescent="0.25">
      <c r="A40" s="73"/>
      <c r="B40" s="73"/>
      <c r="C40" s="96"/>
      <c r="D40" s="27" t="s">
        <v>74</v>
      </c>
      <c r="E40" s="97"/>
      <c r="F40" s="75"/>
      <c r="G40" s="75"/>
      <c r="H40" s="135"/>
      <c r="I40" s="98"/>
      <c r="J40" s="135"/>
      <c r="K40" s="134"/>
      <c r="L40" s="76"/>
      <c r="M40" s="76"/>
      <c r="N40" s="99"/>
      <c r="O40" s="25">
        <f t="shared" si="0"/>
        <v>0</v>
      </c>
      <c r="P40" s="100"/>
      <c r="Q40" s="133"/>
      <c r="R40" s="31">
        <f t="shared" si="1"/>
        <v>0</v>
      </c>
    </row>
    <row r="41" spans="1:18" x14ac:dyDescent="0.25">
      <c r="A41" s="101" t="s">
        <v>80</v>
      </c>
      <c r="B41" s="15" t="s">
        <v>62</v>
      </c>
      <c r="C41" s="102" t="s">
        <v>58</v>
      </c>
      <c r="D41" s="61" t="s">
        <v>88</v>
      </c>
      <c r="E41" s="83">
        <v>45475</v>
      </c>
      <c r="F41" s="103">
        <v>7802.54</v>
      </c>
      <c r="G41" s="46">
        <v>7802.54</v>
      </c>
      <c r="H41" s="17"/>
      <c r="I41" s="104"/>
      <c r="J41" s="105"/>
      <c r="K41" s="18">
        <v>1950.64</v>
      </c>
      <c r="L41" s="20">
        <v>908.85</v>
      </c>
      <c r="M41" s="20">
        <v>999.76</v>
      </c>
      <c r="N41" s="47">
        <f>1</f>
        <v>1</v>
      </c>
      <c r="O41" s="44">
        <f t="shared" si="0"/>
        <v>7843.57</v>
      </c>
      <c r="P41" s="36">
        <v>942.4</v>
      </c>
      <c r="Q41" s="106"/>
      <c r="R41" s="21">
        <f t="shared" si="1"/>
        <v>8785.9699999999993</v>
      </c>
    </row>
    <row r="42" spans="1:18" x14ac:dyDescent="0.25">
      <c r="A42" s="107"/>
      <c r="B42" s="22"/>
      <c r="C42" s="68"/>
      <c r="D42" s="64" t="s">
        <v>74</v>
      </c>
      <c r="E42" s="87"/>
      <c r="F42" s="108"/>
      <c r="G42" s="50"/>
      <c r="H42" s="24"/>
      <c r="I42" s="109"/>
      <c r="J42" s="110"/>
      <c r="K42" s="25"/>
      <c r="L42" s="51"/>
      <c r="M42" s="51"/>
      <c r="N42" s="52"/>
      <c r="O42" s="18">
        <f t="shared" si="0"/>
        <v>0</v>
      </c>
      <c r="P42" s="43"/>
      <c r="Q42" s="111"/>
      <c r="R42" s="41">
        <f t="shared" si="1"/>
        <v>0</v>
      </c>
    </row>
    <row r="43" spans="1:18" x14ac:dyDescent="0.25">
      <c r="A43" s="37" t="s">
        <v>24</v>
      </c>
      <c r="B43" s="22" t="s">
        <v>62</v>
      </c>
      <c r="C43" s="68" t="s">
        <v>58</v>
      </c>
      <c r="D43" s="68" t="s">
        <v>58</v>
      </c>
      <c r="E43" s="23">
        <v>41730</v>
      </c>
      <c r="F43" s="39">
        <v>7885.99</v>
      </c>
      <c r="G43" s="40">
        <v>7885.99</v>
      </c>
      <c r="H43" s="40">
        <f>394.3+630.88</f>
        <v>1025.18</v>
      </c>
      <c r="I43" s="40"/>
      <c r="J43" s="40"/>
      <c r="K43" s="41"/>
      <c r="L43" s="41">
        <v>908.85</v>
      </c>
      <c r="M43" s="41">
        <f>1304.64</f>
        <v>1304.6400000000001</v>
      </c>
      <c r="N43" s="41">
        <f>1</f>
        <v>1</v>
      </c>
      <c r="O43" s="18">
        <f t="shared" si="0"/>
        <v>6696.6799999999994</v>
      </c>
      <c r="P43" s="41">
        <v>942.4</v>
      </c>
      <c r="Q43" s="41">
        <f>876.14</f>
        <v>876.14</v>
      </c>
      <c r="R43" s="31">
        <f t="shared" si="1"/>
        <v>6762.9399999999987</v>
      </c>
    </row>
    <row r="44" spans="1:18" x14ac:dyDescent="0.25">
      <c r="A44" s="53" t="s">
        <v>25</v>
      </c>
      <c r="B44" s="54" t="s">
        <v>62</v>
      </c>
      <c r="C44" s="54" t="s">
        <v>50</v>
      </c>
      <c r="D44" s="54" t="s">
        <v>50</v>
      </c>
      <c r="E44" s="55">
        <v>41823</v>
      </c>
      <c r="F44" s="56">
        <v>2640.84</v>
      </c>
      <c r="G44" s="57">
        <v>2640.84</v>
      </c>
      <c r="H44" s="57">
        <f>132.04+211.27</f>
        <v>343.31</v>
      </c>
      <c r="I44" s="57"/>
      <c r="J44" s="57"/>
      <c r="K44" s="58"/>
      <c r="L44" s="58">
        <v>256.91000000000003</v>
      </c>
      <c r="M44" s="58">
        <v>12.01</v>
      </c>
      <c r="N44" s="58">
        <f>1+66.02</f>
        <v>67.02</v>
      </c>
      <c r="O44" s="18">
        <f t="shared" ref="O44:O61" si="2">G44+H44+I44+J44+K44-L44-M44-N44</f>
        <v>2648.21</v>
      </c>
      <c r="P44" s="58">
        <f>942.4+141.7</f>
        <v>1084.0999999999999</v>
      </c>
      <c r="Q44" s="58">
        <f>26.41</f>
        <v>26.41</v>
      </c>
      <c r="R44" s="21">
        <f t="shared" si="1"/>
        <v>3705.9</v>
      </c>
    </row>
    <row r="45" spans="1:18" x14ac:dyDescent="0.25">
      <c r="A45" s="53" t="s">
        <v>26</v>
      </c>
      <c r="B45" s="54" t="s">
        <v>62</v>
      </c>
      <c r="C45" s="54" t="s">
        <v>51</v>
      </c>
      <c r="D45" s="54" t="s">
        <v>89</v>
      </c>
      <c r="E45" s="55">
        <v>39295</v>
      </c>
      <c r="F45" s="56">
        <v>8875.44</v>
      </c>
      <c r="G45" s="57">
        <v>7396.2</v>
      </c>
      <c r="H45" s="57">
        <f>369.81+1114.04+591.7</f>
        <v>2075.5500000000002</v>
      </c>
      <c r="I45" s="57"/>
      <c r="J45" s="57"/>
      <c r="K45" s="58"/>
      <c r="L45" s="58">
        <v>294.41000000000003</v>
      </c>
      <c r="M45" s="58">
        <v>1553.41</v>
      </c>
      <c r="N45" s="58">
        <f>1+94.23</f>
        <v>95.23</v>
      </c>
      <c r="O45" s="18">
        <f t="shared" si="2"/>
        <v>7528.7000000000007</v>
      </c>
      <c r="P45" s="58">
        <v>942.4</v>
      </c>
      <c r="Q45" s="58">
        <f>1793.5+413.5+388.32+154.75+88.75</f>
        <v>2838.82</v>
      </c>
      <c r="R45" s="21">
        <f t="shared" si="1"/>
        <v>5632.2800000000007</v>
      </c>
    </row>
    <row r="46" spans="1:18" x14ac:dyDescent="0.25">
      <c r="A46" s="53" t="s">
        <v>27</v>
      </c>
      <c r="B46" s="54" t="s">
        <v>62</v>
      </c>
      <c r="C46" s="54" t="s">
        <v>59</v>
      </c>
      <c r="D46" s="54" t="s">
        <v>59</v>
      </c>
      <c r="E46" s="55">
        <v>35309</v>
      </c>
      <c r="F46" s="56">
        <v>2697.31</v>
      </c>
      <c r="G46" s="57">
        <v>2697.31</v>
      </c>
      <c r="H46" s="57"/>
      <c r="I46" s="57"/>
      <c r="J46" s="57"/>
      <c r="K46" s="58"/>
      <c r="L46" s="58">
        <v>222.49</v>
      </c>
      <c r="M46" s="58">
        <v>0</v>
      </c>
      <c r="N46" s="58">
        <f>1+67.43</f>
        <v>68.430000000000007</v>
      </c>
      <c r="O46" s="18">
        <f t="shared" si="2"/>
        <v>2406.39</v>
      </c>
      <c r="P46" s="58">
        <f>942.4+281.4</f>
        <v>1223.8</v>
      </c>
      <c r="Q46" s="58">
        <f>378+236+26.97</f>
        <v>640.97</v>
      </c>
      <c r="R46" s="21">
        <f t="shared" si="1"/>
        <v>2989.2199999999993</v>
      </c>
    </row>
    <row r="47" spans="1:18" x14ac:dyDescent="0.25">
      <c r="A47" s="53" t="s">
        <v>28</v>
      </c>
      <c r="B47" s="54" t="s">
        <v>62</v>
      </c>
      <c r="C47" s="54" t="s">
        <v>50</v>
      </c>
      <c r="D47" s="54" t="s">
        <v>90</v>
      </c>
      <c r="E47" s="55">
        <v>35829</v>
      </c>
      <c r="F47" s="56">
        <v>3655.55</v>
      </c>
      <c r="G47" s="57">
        <v>3655.55</v>
      </c>
      <c r="H47" s="57">
        <v>1336.85</v>
      </c>
      <c r="I47" s="57"/>
      <c r="J47" s="57"/>
      <c r="K47" s="58"/>
      <c r="L47" s="58">
        <v>517.75</v>
      </c>
      <c r="M47" s="58">
        <v>301.37</v>
      </c>
      <c r="N47" s="58">
        <f>1+91.39</f>
        <v>92.39</v>
      </c>
      <c r="O47" s="18">
        <f t="shared" si="2"/>
        <v>4080.89</v>
      </c>
      <c r="P47" s="58">
        <f>942.4+126</f>
        <v>1068.4000000000001</v>
      </c>
      <c r="Q47" s="58">
        <f>661.39+137.6+644.72+300.57+36.56</f>
        <v>1780.84</v>
      </c>
      <c r="R47" s="21">
        <f t="shared" si="1"/>
        <v>3368.45</v>
      </c>
    </row>
    <row r="48" spans="1:18" x14ac:dyDescent="0.25">
      <c r="A48" s="53" t="s">
        <v>29</v>
      </c>
      <c r="B48" s="54" t="s">
        <v>62</v>
      </c>
      <c r="C48" s="54" t="s">
        <v>51</v>
      </c>
      <c r="D48" s="15" t="s">
        <v>51</v>
      </c>
      <c r="E48" s="55">
        <v>41505</v>
      </c>
      <c r="F48" s="56">
        <v>5914.49</v>
      </c>
      <c r="G48" s="57">
        <v>5914.49</v>
      </c>
      <c r="H48" s="57">
        <f>295.72+473.16</f>
        <v>768.88000000000011</v>
      </c>
      <c r="I48" s="57"/>
      <c r="J48" s="57"/>
      <c r="K48" s="58"/>
      <c r="L48" s="58">
        <f>754.48</f>
        <v>754.48</v>
      </c>
      <c r="M48" s="58">
        <f>682.31</f>
        <v>682.31</v>
      </c>
      <c r="N48" s="58">
        <f>1</f>
        <v>1</v>
      </c>
      <c r="O48" s="18">
        <f t="shared" si="2"/>
        <v>5245.58</v>
      </c>
      <c r="P48" s="58">
        <v>942.4</v>
      </c>
      <c r="Q48" s="58">
        <f>59.14</f>
        <v>59.14</v>
      </c>
      <c r="R48" s="21">
        <f t="shared" si="1"/>
        <v>6128.8399999999992</v>
      </c>
    </row>
    <row r="49" spans="1:18" x14ac:dyDescent="0.25">
      <c r="A49" s="45" t="s">
        <v>30</v>
      </c>
      <c r="B49" s="15" t="s">
        <v>62</v>
      </c>
      <c r="C49" s="82" t="s">
        <v>60</v>
      </c>
      <c r="D49" s="15" t="s">
        <v>91</v>
      </c>
      <c r="E49" s="16">
        <v>44201</v>
      </c>
      <c r="F49" s="46">
        <v>7431</v>
      </c>
      <c r="G49" s="46">
        <v>7431</v>
      </c>
      <c r="H49" s="127"/>
      <c r="I49" s="17"/>
      <c r="J49" s="127"/>
      <c r="K49" s="125"/>
      <c r="L49" s="20">
        <v>859.15</v>
      </c>
      <c r="M49" s="20">
        <v>859.12</v>
      </c>
      <c r="N49" s="47">
        <f>1</f>
        <v>1</v>
      </c>
      <c r="O49" s="18">
        <f t="shared" si="2"/>
        <v>5711.7300000000005</v>
      </c>
      <c r="P49" s="36">
        <v>942.4</v>
      </c>
      <c r="Q49" s="136">
        <f>326.53+55.27</f>
        <v>381.79999999999995</v>
      </c>
      <c r="R49" s="21">
        <f t="shared" si="1"/>
        <v>6272.33</v>
      </c>
    </row>
    <row r="50" spans="1:18" x14ac:dyDescent="0.25">
      <c r="A50" s="48"/>
      <c r="B50" s="48"/>
      <c r="C50" s="112"/>
      <c r="D50" s="27" t="s">
        <v>74</v>
      </c>
      <c r="E50" s="49"/>
      <c r="F50" s="50"/>
      <c r="G50" s="50"/>
      <c r="H50" s="128"/>
      <c r="I50" s="24"/>
      <c r="J50" s="128"/>
      <c r="K50" s="126"/>
      <c r="L50" s="51"/>
      <c r="M50" s="51"/>
      <c r="N50" s="52"/>
      <c r="O50" s="25">
        <f t="shared" si="2"/>
        <v>0</v>
      </c>
      <c r="P50" s="43"/>
      <c r="Q50" s="137"/>
      <c r="R50" s="41">
        <f t="shared" si="1"/>
        <v>0</v>
      </c>
    </row>
    <row r="51" spans="1:18" x14ac:dyDescent="0.25">
      <c r="A51" s="53" t="s">
        <v>31</v>
      </c>
      <c r="B51" s="54" t="s">
        <v>62</v>
      </c>
      <c r="C51" s="54" t="s">
        <v>50</v>
      </c>
      <c r="D51" s="54" t="s">
        <v>50</v>
      </c>
      <c r="E51" s="55">
        <v>33581</v>
      </c>
      <c r="F51" s="56">
        <v>3765.23</v>
      </c>
      <c r="G51" s="57">
        <f>2133.63+78.54</f>
        <v>2212.17</v>
      </c>
      <c r="H51" s="57"/>
      <c r="I51" s="57"/>
      <c r="J51" s="57"/>
      <c r="K51" s="58"/>
      <c r="L51" s="58">
        <v>229.23</v>
      </c>
      <c r="M51" s="58">
        <v>0</v>
      </c>
      <c r="N51" s="58">
        <f>1+53.34</f>
        <v>54.34</v>
      </c>
      <c r="O51" s="44">
        <f t="shared" si="2"/>
        <v>1928.6000000000001</v>
      </c>
      <c r="P51" s="58">
        <f>942.4+126</f>
        <v>1068.4000000000001</v>
      </c>
      <c r="Q51" s="58">
        <f>603.11+49.74+37.65</f>
        <v>690.5</v>
      </c>
      <c r="R51" s="31">
        <f t="shared" si="1"/>
        <v>2306.5</v>
      </c>
    </row>
    <row r="52" spans="1:18" x14ac:dyDescent="0.25">
      <c r="A52" s="53" t="s">
        <v>32</v>
      </c>
      <c r="B52" s="54" t="s">
        <v>62</v>
      </c>
      <c r="C52" s="54" t="s">
        <v>50</v>
      </c>
      <c r="D52" s="54" t="s">
        <v>61</v>
      </c>
      <c r="E52" s="55">
        <v>35339</v>
      </c>
      <c r="F52" s="56">
        <v>3765.23</v>
      </c>
      <c r="G52" s="57">
        <v>376.52</v>
      </c>
      <c r="H52" s="57">
        <f>133.68</f>
        <v>133.68</v>
      </c>
      <c r="I52" s="57"/>
      <c r="J52" s="57"/>
      <c r="K52" s="58"/>
      <c r="L52" s="58">
        <v>53.31</v>
      </c>
      <c r="M52" s="58">
        <v>0</v>
      </c>
      <c r="N52" s="58">
        <f>1+9.41</f>
        <v>10.41</v>
      </c>
      <c r="O52" s="18">
        <f t="shared" si="2"/>
        <v>446.47999999999996</v>
      </c>
      <c r="P52" s="58">
        <f>942.4+126.1</f>
        <v>1068.5</v>
      </c>
      <c r="Q52" s="58">
        <f>37.65</f>
        <v>37.65</v>
      </c>
      <c r="R52" s="21">
        <f t="shared" si="1"/>
        <v>1477.33</v>
      </c>
    </row>
    <row r="53" spans="1:18" x14ac:dyDescent="0.25">
      <c r="A53" s="53" t="s">
        <v>33</v>
      </c>
      <c r="B53" s="54" t="s">
        <v>62</v>
      </c>
      <c r="C53" s="54" t="s">
        <v>50</v>
      </c>
      <c r="D53" s="54" t="s">
        <v>50</v>
      </c>
      <c r="E53" s="55">
        <v>31761</v>
      </c>
      <c r="F53" s="56">
        <v>4627.83</v>
      </c>
      <c r="G53" s="57">
        <f>3856.53</f>
        <v>3856.53</v>
      </c>
      <c r="H53" s="57">
        <f>231.39+192.83</f>
        <v>424.22</v>
      </c>
      <c r="I53" s="57"/>
      <c r="J53" s="57"/>
      <c r="K53" s="58"/>
      <c r="L53" s="58">
        <f>473.77</f>
        <v>473.77</v>
      </c>
      <c r="M53" s="58">
        <v>161.16999999999999</v>
      </c>
      <c r="N53" s="58">
        <f>1+96.41</f>
        <v>97.41</v>
      </c>
      <c r="O53" s="18">
        <f t="shared" si="2"/>
        <v>3548.4</v>
      </c>
      <c r="P53" s="58">
        <f>942.4+135</f>
        <v>1077.4000000000001</v>
      </c>
      <c r="Q53" s="58">
        <f>346.36+175.78+53.64-0.01+46.28</f>
        <v>622.04999999999995</v>
      </c>
      <c r="R53" s="21">
        <f t="shared" si="1"/>
        <v>4003.75</v>
      </c>
    </row>
    <row r="54" spans="1:18" x14ac:dyDescent="0.25">
      <c r="A54" s="53" t="s">
        <v>34</v>
      </c>
      <c r="B54" s="54" t="s">
        <v>62</v>
      </c>
      <c r="C54" s="54" t="s">
        <v>50</v>
      </c>
      <c r="D54" s="54" t="s">
        <v>50</v>
      </c>
      <c r="E54" s="55">
        <v>41218</v>
      </c>
      <c r="F54" s="56">
        <v>2801.68</v>
      </c>
      <c r="G54" s="57">
        <v>2801.68</v>
      </c>
      <c r="H54" s="57"/>
      <c r="I54" s="57"/>
      <c r="J54" s="57"/>
      <c r="K54" s="58"/>
      <c r="L54" s="58">
        <v>235.02</v>
      </c>
      <c r="M54" s="58">
        <v>0</v>
      </c>
      <c r="N54" s="58">
        <f>1+70.04</f>
        <v>71.040000000000006</v>
      </c>
      <c r="O54" s="18">
        <f t="shared" si="2"/>
        <v>2495.62</v>
      </c>
      <c r="P54" s="58">
        <f>942.4+135</f>
        <v>1077.4000000000001</v>
      </c>
      <c r="Q54" s="58">
        <f>326.53+28.02</f>
        <v>354.54999999999995</v>
      </c>
      <c r="R54" s="21">
        <f t="shared" si="1"/>
        <v>3218.4700000000003</v>
      </c>
    </row>
    <row r="55" spans="1:18" x14ac:dyDescent="0.25">
      <c r="A55" s="53" t="s">
        <v>35</v>
      </c>
      <c r="B55" s="54" t="s">
        <v>62</v>
      </c>
      <c r="C55" s="54" t="s">
        <v>51</v>
      </c>
      <c r="D55" s="54" t="s">
        <v>51</v>
      </c>
      <c r="E55" s="55">
        <v>42982</v>
      </c>
      <c r="F55" s="56">
        <v>7216.85</v>
      </c>
      <c r="G55" s="57">
        <v>7216.85</v>
      </c>
      <c r="H55" s="57">
        <f>360.84+577.35</f>
        <v>938.19</v>
      </c>
      <c r="I55" s="57"/>
      <c r="J55" s="57"/>
      <c r="K55" s="58"/>
      <c r="L55" s="58">
        <f>908.85</f>
        <v>908.85</v>
      </c>
      <c r="M55" s="58">
        <f>1096.7</f>
        <v>1096.7</v>
      </c>
      <c r="N55" s="58">
        <f>1+94.23</f>
        <v>95.23</v>
      </c>
      <c r="O55" s="18">
        <f t="shared" si="2"/>
        <v>6054.2600000000011</v>
      </c>
      <c r="P55" s="58">
        <v>942.4</v>
      </c>
      <c r="Q55" s="58">
        <f>72.17</f>
        <v>72.17</v>
      </c>
      <c r="R55" s="21">
        <f t="shared" si="1"/>
        <v>6924.4900000000007</v>
      </c>
    </row>
    <row r="56" spans="1:18" x14ac:dyDescent="0.25">
      <c r="A56" s="53" t="s">
        <v>36</v>
      </c>
      <c r="B56" s="54" t="s">
        <v>62</v>
      </c>
      <c r="C56" s="54" t="s">
        <v>54</v>
      </c>
      <c r="D56" s="54" t="s">
        <v>54</v>
      </c>
      <c r="E56" s="55">
        <v>41823</v>
      </c>
      <c r="F56" s="56">
        <v>4593.78</v>
      </c>
      <c r="G56" s="57">
        <v>4593.78</v>
      </c>
      <c r="H56" s="57">
        <f>229.69+367.5</f>
        <v>597.19000000000005</v>
      </c>
      <c r="I56" s="57"/>
      <c r="J56" s="57"/>
      <c r="K56" s="58"/>
      <c r="L56" s="58">
        <f>545.55</f>
        <v>545.54999999999995</v>
      </c>
      <c r="M56" s="58">
        <f>378.12</f>
        <v>378.12</v>
      </c>
      <c r="N56" s="58">
        <f>1+114.84+125.64</f>
        <v>241.48000000000002</v>
      </c>
      <c r="O56" s="18">
        <f t="shared" si="2"/>
        <v>4025.8199999999993</v>
      </c>
      <c r="P56" s="58">
        <f>942.4+99</f>
        <v>1041.4000000000001</v>
      </c>
      <c r="Q56" s="58">
        <f>45.94</f>
        <v>45.94</v>
      </c>
      <c r="R56" s="21">
        <f t="shared" si="1"/>
        <v>5021.28</v>
      </c>
    </row>
    <row r="57" spans="1:18" x14ac:dyDescent="0.25">
      <c r="A57" s="53" t="s">
        <v>37</v>
      </c>
      <c r="B57" s="54" t="s">
        <v>62</v>
      </c>
      <c r="C57" s="54" t="s">
        <v>51</v>
      </c>
      <c r="D57" s="15" t="s">
        <v>51</v>
      </c>
      <c r="E57" s="55">
        <v>41708</v>
      </c>
      <c r="F57" s="56">
        <v>5914.48</v>
      </c>
      <c r="G57" s="57">
        <v>5914.48</v>
      </c>
      <c r="H57" s="57">
        <f>295.72+473.16</f>
        <v>768.88000000000011</v>
      </c>
      <c r="I57" s="57"/>
      <c r="J57" s="57"/>
      <c r="K57" s="58"/>
      <c r="L57" s="58">
        <v>0</v>
      </c>
      <c r="M57" s="58">
        <f>786.6</f>
        <v>786.6</v>
      </c>
      <c r="N57" s="58">
        <f>1+188.46</f>
        <v>189.46</v>
      </c>
      <c r="O57" s="18">
        <f t="shared" si="2"/>
        <v>5707.2999999999993</v>
      </c>
      <c r="P57" s="58">
        <v>942.4</v>
      </c>
      <c r="Q57" s="58">
        <f>59.14</f>
        <v>59.14</v>
      </c>
      <c r="R57" s="21">
        <f t="shared" si="1"/>
        <v>6590.5599999999986</v>
      </c>
    </row>
    <row r="58" spans="1:18" x14ac:dyDescent="0.25">
      <c r="A58" s="45" t="s">
        <v>38</v>
      </c>
      <c r="B58" s="15" t="s">
        <v>62</v>
      </c>
      <c r="C58" s="82" t="s">
        <v>51</v>
      </c>
      <c r="D58" s="15" t="s">
        <v>92</v>
      </c>
      <c r="E58" s="94">
        <v>36739</v>
      </c>
      <c r="F58" s="46">
        <v>10289.06</v>
      </c>
      <c r="G58" s="46">
        <f>9946.09+37.6</f>
        <v>9983.69</v>
      </c>
      <c r="H58" s="46">
        <f>497.3+795.69+3591.65</f>
        <v>4884.6400000000003</v>
      </c>
      <c r="I58" s="46"/>
      <c r="J58" s="46"/>
      <c r="K58" s="125"/>
      <c r="L58" s="21">
        <v>861.02</v>
      </c>
      <c r="M58" s="20">
        <v>2956.01</v>
      </c>
      <c r="N58" s="47">
        <f>1+94.23</f>
        <v>95.23</v>
      </c>
      <c r="O58" s="18">
        <f t="shared" si="2"/>
        <v>10956.070000000002</v>
      </c>
      <c r="P58" s="36">
        <v>942.4</v>
      </c>
      <c r="Q58" s="47">
        <f>102.89</f>
        <v>102.89</v>
      </c>
      <c r="R58" s="21">
        <f t="shared" si="1"/>
        <v>11795.580000000002</v>
      </c>
    </row>
    <row r="59" spans="1:18" x14ac:dyDescent="0.25">
      <c r="A59" s="48"/>
      <c r="B59" s="48"/>
      <c r="C59" s="112"/>
      <c r="D59" s="22" t="s">
        <v>73</v>
      </c>
      <c r="E59" s="113"/>
      <c r="F59" s="50"/>
      <c r="G59" s="50"/>
      <c r="H59" s="50"/>
      <c r="I59" s="50"/>
      <c r="J59" s="50"/>
      <c r="K59" s="126"/>
      <c r="L59" s="41"/>
      <c r="M59" s="51"/>
      <c r="N59" s="52"/>
      <c r="O59" s="25">
        <f t="shared" si="2"/>
        <v>0</v>
      </c>
      <c r="P59" s="43"/>
      <c r="Q59" s="52"/>
      <c r="R59" s="41">
        <f t="shared" si="1"/>
        <v>0</v>
      </c>
    </row>
    <row r="60" spans="1:18" x14ac:dyDescent="0.25">
      <c r="A60" s="14" t="s">
        <v>39</v>
      </c>
      <c r="B60" s="15" t="s">
        <v>63</v>
      </c>
      <c r="C60" s="15" t="s">
        <v>51</v>
      </c>
      <c r="D60" s="27" t="s">
        <v>51</v>
      </c>
      <c r="E60" s="16">
        <v>36342</v>
      </c>
      <c r="F60" s="32">
        <v>7492.29</v>
      </c>
      <c r="G60" s="33">
        <v>7492.29</v>
      </c>
      <c r="H60" s="33">
        <v>599.38</v>
      </c>
      <c r="I60" s="57"/>
      <c r="J60" s="33"/>
      <c r="K60" s="21"/>
      <c r="L60" s="21">
        <f>908.85</f>
        <v>908.85</v>
      </c>
      <c r="M60" s="21">
        <f>1027.14</f>
        <v>1027.1400000000001</v>
      </c>
      <c r="N60" s="21">
        <f>1</f>
        <v>1</v>
      </c>
      <c r="O60" s="44">
        <f t="shared" si="2"/>
        <v>6154.6799999999994</v>
      </c>
      <c r="P60" s="21">
        <f>942.4</f>
        <v>942.4</v>
      </c>
      <c r="Q60" s="21">
        <f>74.92</f>
        <v>74.92</v>
      </c>
      <c r="R60" s="31">
        <f t="shared" si="1"/>
        <v>7022.1599999999989</v>
      </c>
    </row>
    <row r="61" spans="1:18" x14ac:dyDescent="0.25">
      <c r="A61" s="114" t="s">
        <v>103</v>
      </c>
      <c r="B61" s="82" t="s">
        <v>62</v>
      </c>
      <c r="C61" s="116" t="s">
        <v>105</v>
      </c>
      <c r="D61" s="82" t="s">
        <v>106</v>
      </c>
      <c r="E61" s="83">
        <v>45607</v>
      </c>
      <c r="F61" s="84">
        <v>3901.28</v>
      </c>
      <c r="G61" s="62">
        <v>2600.85</v>
      </c>
      <c r="H61" s="33"/>
      <c r="I61" s="85"/>
      <c r="J61" s="62"/>
      <c r="K61" s="35">
        <v>325.11</v>
      </c>
      <c r="L61" s="35">
        <v>212.89</v>
      </c>
      <c r="M61" s="35">
        <v>0</v>
      </c>
      <c r="N61" s="35">
        <f>1+65.02</f>
        <v>66.02</v>
      </c>
      <c r="O61" s="95">
        <f t="shared" si="2"/>
        <v>2647.05</v>
      </c>
      <c r="P61" s="35">
        <f>942.4+243</f>
        <v>1185.4000000000001</v>
      </c>
      <c r="Q61" s="35">
        <v>0</v>
      </c>
      <c r="R61" s="21">
        <f t="shared" ref="R61" si="3">O61+P61-Q61</f>
        <v>3832.4500000000003</v>
      </c>
    </row>
    <row r="62" spans="1:18" x14ac:dyDescent="0.25">
      <c r="A62" s="115"/>
      <c r="B62" s="38"/>
      <c r="C62" s="117"/>
      <c r="D62" s="38" t="s">
        <v>74</v>
      </c>
      <c r="E62" s="119"/>
      <c r="F62" s="119"/>
      <c r="G62" s="119"/>
      <c r="H62" s="118"/>
      <c r="I62" s="120"/>
      <c r="J62" s="121"/>
      <c r="K62" s="122"/>
      <c r="L62" s="122"/>
      <c r="M62" s="122"/>
      <c r="N62" s="122"/>
      <c r="O62" s="122"/>
      <c r="P62" s="122"/>
      <c r="Q62" s="122"/>
      <c r="R62" s="123"/>
    </row>
    <row r="63" spans="1:1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R63" s="12"/>
    </row>
    <row r="64" spans="1:18" x14ac:dyDescent="0.25">
      <c r="A64" s="4" t="s">
        <v>75</v>
      </c>
      <c r="B64" s="5"/>
      <c r="C64" s="5"/>
      <c r="D64" s="5"/>
      <c r="K64" s="1"/>
      <c r="R64" s="13"/>
    </row>
    <row r="65" spans="1:18" x14ac:dyDescent="0.25">
      <c r="A65" s="4" t="s">
        <v>76</v>
      </c>
      <c r="B65" s="5"/>
      <c r="C65" s="5"/>
      <c r="D65" s="5"/>
      <c r="P65" s="6"/>
    </row>
    <row r="66" spans="1:18" x14ac:dyDescent="0.25">
      <c r="A66" s="4" t="s">
        <v>77</v>
      </c>
      <c r="B66" s="5"/>
      <c r="C66" s="5"/>
      <c r="D66" s="5"/>
      <c r="R66" s="11"/>
    </row>
    <row r="67" spans="1:18" x14ac:dyDescent="0.25">
      <c r="A67" s="4" t="s">
        <v>78</v>
      </c>
      <c r="P67" s="6"/>
      <c r="Q67" s="6"/>
      <c r="R67" s="11"/>
    </row>
    <row r="68" spans="1:18" x14ac:dyDescent="0.25">
      <c r="P68" s="6"/>
      <c r="Q68" s="6"/>
      <c r="R68" s="11"/>
    </row>
    <row r="69" spans="1:18" x14ac:dyDescent="0.25">
      <c r="P69" s="6"/>
      <c r="Q69" s="6"/>
      <c r="R69" s="10"/>
    </row>
    <row r="70" spans="1:18" x14ac:dyDescent="0.25">
      <c r="P70" s="7"/>
      <c r="Q70" s="6"/>
      <c r="R70" s="10"/>
    </row>
    <row r="71" spans="1:18" x14ac:dyDescent="0.25">
      <c r="P71" s="6"/>
      <c r="Q71" s="6"/>
      <c r="R71" s="1"/>
    </row>
    <row r="72" spans="1:18" x14ac:dyDescent="0.25">
      <c r="P72" s="6"/>
      <c r="Q72" s="6"/>
      <c r="R72" s="1"/>
    </row>
    <row r="73" spans="1:18" x14ac:dyDescent="0.25">
      <c r="P73" s="6"/>
      <c r="Q73" s="6"/>
      <c r="R73" s="1"/>
    </row>
    <row r="74" spans="1:18" x14ac:dyDescent="0.25">
      <c r="P74" s="6"/>
      <c r="Q74" s="6"/>
      <c r="R74" s="1"/>
    </row>
    <row r="75" spans="1:18" x14ac:dyDescent="0.25">
      <c r="P75" s="6"/>
      <c r="Q75" s="6"/>
      <c r="R75" s="1"/>
    </row>
    <row r="76" spans="1:18" x14ac:dyDescent="0.25">
      <c r="P76" s="6"/>
      <c r="Q76" s="6"/>
      <c r="R76" s="1"/>
    </row>
    <row r="77" spans="1:18" x14ac:dyDescent="0.25">
      <c r="P77" s="6"/>
      <c r="Q77" s="6"/>
      <c r="R77" s="1"/>
    </row>
    <row r="78" spans="1:18" x14ac:dyDescent="0.25">
      <c r="O78" s="6"/>
      <c r="R78" s="11"/>
    </row>
    <row r="79" spans="1:18" x14ac:dyDescent="0.25">
      <c r="Q79" s="1"/>
      <c r="R79" s="11"/>
    </row>
    <row r="80" spans="1:18" x14ac:dyDescent="0.25">
      <c r="R80" s="11"/>
    </row>
    <row r="81" spans="18:20" x14ac:dyDescent="0.25">
      <c r="R81" s="11"/>
    </row>
    <row r="82" spans="18:20" x14ac:dyDescent="0.25">
      <c r="R82" s="11"/>
      <c r="T82" s="1"/>
    </row>
    <row r="83" spans="18:20" x14ac:dyDescent="0.25">
      <c r="R83" s="10"/>
    </row>
    <row r="84" spans="18:20" x14ac:dyDescent="0.25">
      <c r="R84" s="10"/>
    </row>
    <row r="85" spans="18:20" x14ac:dyDescent="0.25">
      <c r="R85" s="10"/>
    </row>
    <row r="86" spans="18:20" x14ac:dyDescent="0.25">
      <c r="R86" s="10"/>
    </row>
    <row r="87" spans="18:20" x14ac:dyDescent="0.25">
      <c r="R87" s="10"/>
    </row>
    <row r="88" spans="18:20" x14ac:dyDescent="0.25">
      <c r="R88" s="10"/>
    </row>
    <row r="90" spans="18:20" x14ac:dyDescent="0.25">
      <c r="R90" s="1"/>
    </row>
  </sheetData>
  <mergeCells count="17">
    <mergeCell ref="G8:H8"/>
    <mergeCell ref="L8:M8"/>
    <mergeCell ref="K58:K59"/>
    <mergeCell ref="H49:H50"/>
    <mergeCell ref="J49:J50"/>
    <mergeCell ref="A7:R7"/>
    <mergeCell ref="H16:H17"/>
    <mergeCell ref="J16:J17"/>
    <mergeCell ref="K16:K17"/>
    <mergeCell ref="Q39:Q40"/>
    <mergeCell ref="K27:K28"/>
    <mergeCell ref="H39:H40"/>
    <mergeCell ref="J39:J40"/>
    <mergeCell ref="K39:K40"/>
    <mergeCell ref="K49:K50"/>
    <mergeCell ref="Q49:Q50"/>
    <mergeCell ref="J8:K8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2024-12-04T15:40:25Z</dcterms:modified>
</cp:coreProperties>
</file>