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G:\Contabilidade.2024\Contabilidade Kléber\Folha de Pagamento\LAI\"/>
    </mc:Choice>
  </mc:AlternateContent>
  <xr:revisionPtr revIDLastSave="0" documentId="13_ncr:1_{09628DF9-3B7E-4BFC-8DED-7FFFFF8195AC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Dezembro-2024" sheetId="55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2" i="55" l="1"/>
  <c r="M60" i="55"/>
  <c r="L60" i="55"/>
  <c r="M58" i="55"/>
  <c r="L58" i="55"/>
  <c r="M32" i="55"/>
  <c r="L32" i="55"/>
  <c r="L31" i="55"/>
  <c r="Q51" i="55"/>
  <c r="M51" i="55"/>
  <c r="L51" i="55"/>
  <c r="M48" i="55"/>
  <c r="L48" i="55"/>
  <c r="Q47" i="55"/>
  <c r="L47" i="55"/>
  <c r="M36" i="55"/>
  <c r="L36" i="55"/>
  <c r="L24" i="55"/>
  <c r="Q22" i="55"/>
  <c r="M22" i="55"/>
  <c r="L22" i="55"/>
  <c r="M20" i="55"/>
  <c r="L20" i="55"/>
  <c r="Q10" i="55"/>
  <c r="P10" i="55"/>
  <c r="M10" i="55"/>
  <c r="L10" i="55"/>
  <c r="M16" i="55"/>
  <c r="K34" i="55"/>
  <c r="L61" i="55"/>
  <c r="K61" i="55"/>
  <c r="K60" i="55"/>
  <c r="K58" i="55"/>
  <c r="M57" i="55"/>
  <c r="K57" i="55"/>
  <c r="M56" i="55"/>
  <c r="L56" i="55"/>
  <c r="K56" i="55"/>
  <c r="M55" i="55"/>
  <c r="L55" i="55"/>
  <c r="K55" i="55"/>
  <c r="L54" i="55"/>
  <c r="K54" i="55"/>
  <c r="M53" i="55"/>
  <c r="L53" i="55"/>
  <c r="K53" i="55"/>
  <c r="M52" i="55"/>
  <c r="L52" i="55"/>
  <c r="K52" i="55"/>
  <c r="K51" i="55"/>
  <c r="M49" i="55"/>
  <c r="L49" i="55"/>
  <c r="K49" i="55"/>
  <c r="K48" i="55"/>
  <c r="M47" i="55"/>
  <c r="K47" i="55"/>
  <c r="L46" i="55"/>
  <c r="K46" i="55"/>
  <c r="M45" i="55"/>
  <c r="L45" i="55"/>
  <c r="K45" i="55"/>
  <c r="M44" i="55"/>
  <c r="L44" i="55"/>
  <c r="K44" i="55"/>
  <c r="M43" i="55"/>
  <c r="L43" i="55"/>
  <c r="M41" i="55"/>
  <c r="L41" i="55"/>
  <c r="K43" i="55"/>
  <c r="K41" i="55"/>
  <c r="M39" i="55"/>
  <c r="L39" i="55"/>
  <c r="K39" i="55"/>
  <c r="M38" i="55"/>
  <c r="L38" i="55"/>
  <c r="K38" i="55"/>
  <c r="M37" i="55"/>
  <c r="L37" i="55"/>
  <c r="K37" i="55"/>
  <c r="K36" i="55"/>
  <c r="L34" i="55"/>
  <c r="M33" i="55"/>
  <c r="L33" i="55"/>
  <c r="K33" i="55"/>
  <c r="K32" i="55"/>
  <c r="M31" i="55"/>
  <c r="K31" i="55"/>
  <c r="L29" i="55"/>
  <c r="K29" i="55"/>
  <c r="M27" i="55"/>
  <c r="L27" i="55"/>
  <c r="K27" i="55"/>
  <c r="M26" i="55"/>
  <c r="L26" i="55"/>
  <c r="K26" i="55"/>
  <c r="M24" i="55"/>
  <c r="K24" i="55"/>
  <c r="M23" i="55"/>
  <c r="L23" i="55"/>
  <c r="K23" i="55"/>
  <c r="K22" i="55"/>
  <c r="M21" i="55"/>
  <c r="L21" i="55"/>
  <c r="K21" i="55"/>
  <c r="K20" i="55"/>
  <c r="M19" i="55"/>
  <c r="L19" i="55"/>
  <c r="K19" i="55"/>
  <c r="L18" i="55"/>
  <c r="K18" i="55"/>
  <c r="L16" i="55"/>
  <c r="K16" i="55"/>
  <c r="L15" i="55"/>
  <c r="K15" i="55"/>
  <c r="L13" i="55"/>
  <c r="K13" i="55"/>
  <c r="K10" i="55"/>
  <c r="P61" i="55" l="1"/>
  <c r="N61" i="55"/>
  <c r="N58" i="55"/>
  <c r="H58" i="55"/>
  <c r="N57" i="55"/>
  <c r="P56" i="55"/>
  <c r="N56" i="55"/>
  <c r="N55" i="55"/>
  <c r="P54" i="55"/>
  <c r="Q53" i="55"/>
  <c r="P53" i="55"/>
  <c r="N53" i="55"/>
  <c r="H53" i="55"/>
  <c r="Q52" i="55"/>
  <c r="P52" i="55"/>
  <c r="N52" i="55"/>
  <c r="P51" i="55"/>
  <c r="N51" i="55"/>
  <c r="Q49" i="55"/>
  <c r="N49" i="55"/>
  <c r="P47" i="55"/>
  <c r="P46" i="55"/>
  <c r="Q45" i="55"/>
  <c r="N45" i="55"/>
  <c r="H45" i="55"/>
  <c r="P44" i="55"/>
  <c r="Q37" i="55"/>
  <c r="N36" i="55"/>
  <c r="Q34" i="55"/>
  <c r="P34" i="55"/>
  <c r="N34" i="55"/>
  <c r="Q33" i="55"/>
  <c r="P33" i="55"/>
  <c r="N33" i="55"/>
  <c r="H33" i="55"/>
  <c r="P32" i="55"/>
  <c r="N31" i="55"/>
  <c r="P29" i="55"/>
  <c r="H27" i="55"/>
  <c r="N27" i="55"/>
  <c r="Q27" i="55"/>
  <c r="P27" i="55"/>
  <c r="Q26" i="55"/>
  <c r="P26" i="55"/>
  <c r="P23" i="55"/>
  <c r="Q23" i="55"/>
  <c r="G23" i="55"/>
  <c r="Q21" i="55"/>
  <c r="P21" i="55"/>
  <c r="P20" i="55"/>
  <c r="N20" i="55"/>
  <c r="P19" i="55"/>
  <c r="P18" i="55"/>
  <c r="N16" i="55"/>
  <c r="P15" i="55"/>
  <c r="P13" i="55"/>
  <c r="R12" i="55"/>
  <c r="O61" i="55"/>
  <c r="R61" i="55" s="1"/>
  <c r="Q60" i="55"/>
  <c r="P60" i="55"/>
  <c r="Q58" i="55"/>
  <c r="Q57" i="55"/>
  <c r="Q56" i="55"/>
  <c r="Q55" i="55"/>
  <c r="Q54" i="55"/>
  <c r="N54" i="55"/>
  <c r="Q48" i="55"/>
  <c r="N48" i="55"/>
  <c r="N47" i="55"/>
  <c r="N46" i="55"/>
  <c r="Q46" i="55"/>
  <c r="Q44" i="55"/>
  <c r="N44" i="55"/>
  <c r="N41" i="55"/>
  <c r="P39" i="55"/>
  <c r="Q36" i="55"/>
  <c r="N32" i="55"/>
  <c r="Q31" i="55"/>
  <c r="N26" i="55"/>
  <c r="N23" i="55"/>
  <c r="N21" i="55"/>
  <c r="H21" i="55"/>
  <c r="Q20" i="55"/>
  <c r="Q19" i="55"/>
  <c r="N19" i="55"/>
  <c r="Q18" i="55"/>
  <c r="N18" i="55"/>
  <c r="H18" i="55"/>
  <c r="Q16" i="55"/>
  <c r="Q15" i="55"/>
  <c r="N15" i="55"/>
  <c r="G13" i="55"/>
  <c r="H10" i="55"/>
  <c r="O10" i="55" s="1"/>
  <c r="N10" i="55"/>
  <c r="O59" i="55"/>
  <c r="O50" i="55"/>
  <c r="O42" i="55"/>
  <c r="O40" i="55"/>
  <c r="O35" i="55"/>
  <c r="O30" i="55"/>
  <c r="O28" i="55"/>
  <c r="O25" i="55"/>
  <c r="O17" i="55"/>
  <c r="O14" i="55"/>
  <c r="O12" i="55"/>
  <c r="O52" i="55" l="1"/>
  <c r="R59" i="55"/>
  <c r="R50" i="55"/>
  <c r="R42" i="55"/>
  <c r="R40" i="55"/>
  <c r="R35" i="55"/>
  <c r="R28" i="55"/>
  <c r="R25" i="55"/>
  <c r="R17" i="55"/>
  <c r="R14" i="55"/>
  <c r="R30" i="55"/>
  <c r="O54" i="55"/>
  <c r="O46" i="55"/>
  <c r="O41" i="55"/>
  <c r="O34" i="55"/>
  <c r="O26" i="55"/>
  <c r="N60" i="55"/>
  <c r="O58" i="55"/>
  <c r="H57" i="55"/>
  <c r="H56" i="55"/>
  <c r="O56" i="55" s="1"/>
  <c r="H55" i="55"/>
  <c r="H48" i="55"/>
  <c r="O47" i="55"/>
  <c r="O45" i="55"/>
  <c r="H44" i="55"/>
  <c r="O44" i="55" s="1"/>
  <c r="H43" i="55"/>
  <c r="N39" i="55"/>
  <c r="P38" i="55"/>
  <c r="N38" i="55"/>
  <c r="O38" i="55"/>
  <c r="P37" i="55"/>
  <c r="H37" i="55"/>
  <c r="P36" i="55"/>
  <c r="N29" i="55"/>
  <c r="O29" i="55" s="1"/>
  <c r="O27" i="55"/>
  <c r="H24" i="55"/>
  <c r="H23" i="55"/>
  <c r="H22" i="55"/>
  <c r="H20" i="55"/>
  <c r="H19" i="55"/>
  <c r="O19" i="55" s="1"/>
  <c r="O18" i="55"/>
  <c r="O15" i="55"/>
  <c r="N13" i="55"/>
  <c r="O13" i="55"/>
  <c r="O53" i="55" l="1"/>
  <c r="R53" i="55" s="1"/>
  <c r="O20" i="55"/>
  <c r="R20" i="55" s="1"/>
  <c r="O48" i="55"/>
  <c r="R48" i="55" s="1"/>
  <c r="O57" i="55"/>
  <c r="R57" i="55" s="1"/>
  <c r="O21" i="55"/>
  <c r="R21" i="55" s="1"/>
  <c r="O51" i="55"/>
  <c r="R51" i="55" s="1"/>
  <c r="O55" i="55"/>
  <c r="R55" i="55" s="1"/>
  <c r="O36" i="55"/>
  <c r="R36" i="55" s="1"/>
  <c r="O33" i="55"/>
  <c r="R33" i="55" s="1"/>
  <c r="O32" i="55"/>
  <c r="R32" i="55" s="1"/>
  <c r="O39" i="55"/>
  <c r="R39" i="55" s="1"/>
  <c r="O60" i="55"/>
  <c r="R60" i="55" s="1"/>
  <c r="O23" i="55"/>
  <c r="R23" i="55" s="1"/>
  <c r="R13" i="55"/>
  <c r="R45" i="55"/>
  <c r="R19" i="55"/>
  <c r="R27" i="55"/>
  <c r="R56" i="55"/>
  <c r="R58" i="55"/>
  <c r="R29" i="55"/>
  <c r="R46" i="55"/>
  <c r="R54" i="55"/>
  <c r="R18" i="55"/>
  <c r="R47" i="55"/>
  <c r="R26" i="55"/>
  <c r="R34" i="55"/>
  <c r="R41" i="55"/>
  <c r="R15" i="55"/>
  <c r="R38" i="55"/>
  <c r="R44" i="55"/>
  <c r="R52" i="55"/>
  <c r="Q43" i="55"/>
  <c r="N24" i="55"/>
  <c r="O16" i="55"/>
  <c r="R16" i="55" s="1"/>
  <c r="O24" i="55" l="1"/>
  <c r="R24" i="55" s="1"/>
  <c r="N22" i="55"/>
  <c r="O22" i="55" l="1"/>
  <c r="R22" i="55" s="1"/>
  <c r="O49" i="55" l="1"/>
  <c r="R49" i="55" s="1"/>
  <c r="O31" i="55" l="1"/>
  <c r="R31" i="55" s="1"/>
  <c r="N43" i="55"/>
  <c r="N37" i="55"/>
  <c r="O43" i="55" l="1"/>
  <c r="R43" i="55" s="1"/>
  <c r="O37" i="55"/>
  <c r="R37" i="55" s="1"/>
  <c r="R10" i="55"/>
</calcChain>
</file>

<file path=xl/sharedStrings.xml><?xml version="1.0" encoding="utf-8"?>
<sst xmlns="http://schemas.openxmlformats.org/spreadsheetml/2006/main" count="201" uniqueCount="106">
  <si>
    <t>NOME</t>
  </si>
  <si>
    <t>FÉRIAS</t>
  </si>
  <si>
    <t>INSS</t>
  </si>
  <si>
    <t>GRATIFICAÇÕES</t>
  </si>
  <si>
    <t>ALDEÍSE DE ASSIS COSTA</t>
  </si>
  <si>
    <t>ANA KATARINE DE OLIVEIRA CALDEIRA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</si>
  <si>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</si>
  <si>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</si>
  <si>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</si>
  <si>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</si>
  <si>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</si>
  <si>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</si>
  <si>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</si>
  <si>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</si>
  <si>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</si>
  <si>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</si>
  <si>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</si>
  <si>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</si>
  <si>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</si>
  <si>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</si>
  <si>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</si>
  <si>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</si>
  <si>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</si>
  <si>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</si>
  <si>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</si>
  <si>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</si>
  <si>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</si>
  <si>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</si>
  <si>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</si>
  <si>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</si>
  <si>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</si>
  <si>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</si>
  <si>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</si>
  <si>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</si>
  <si>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</si>
  <si>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</si>
  <si>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</si>
  <si>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</si>
  <si>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</si>
  <si>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</si>
  <si>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</si>
  <si>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</si>
  <si>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</si>
  <si>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</si>
  <si>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</si>
  <si>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</si>
  <si>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</si>
  <si>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</si>
  <si>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</si>
  <si>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</si>
  <si>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</si>
  <si>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</si>
  <si>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</si>
  <si>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</si>
  <si>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</si>
  <si>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</si>
  <si>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</si>
  <si>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</si>
  <si>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</si>
  <si>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</si>
  <si>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</si>
  <si>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</si>
  <si>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</si>
  <si>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</si>
  <si>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</si>
  <si>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</si>
  <si>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</si>
  <si>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</si>
  <si>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</si>
  <si>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</si>
  <si>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</si>
  <si>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</si>
  <si>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</si>
  <si>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</si>
  <si>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</si>
  <si>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</si>
  <si>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</si>
  <si>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</si>
  <si>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</si>
  <si>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</si>
  <si>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</si>
  <si>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</si>
  <si>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</si>
  <si>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</si>
  <si>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</si>
  <si>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</si>
  <si>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</si>
  <si>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</si>
  <si>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</si>
  <si>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</si>
  <si>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</si>
  <si>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</si>
  <si>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</si>
  <si>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</si>
  <si>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</si>
  <si>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</si>
  <si>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</si>
  <si>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</si>
  <si>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</si>
  <si>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ISMARA GALDINO DA SILVA</t>
  </si>
  <si>
    <t>CHEFE DA DIVISÃO DE AUDITORIA INTERNA</t>
  </si>
  <si>
    <t>VIVIANE DA SILVA CARVALHO</t>
  </si>
  <si>
    <t>ENFERMEIRO</t>
  </si>
  <si>
    <t>COORDENADOR DA DIVISÃO DE PROCESSO ÉTICO</t>
  </si>
  <si>
    <t>REMUNERAÇÃO REFERENTE À FOLHA DE PAGAMENTO DE DEZEMBRO/2024 - CONSELHO REGIONAL DE ENFERMAGEM DO RIO GRANDE DO NORTE</t>
  </si>
  <si>
    <t>13º SALÁRIO (2ª PARCELA)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</si>
</sst>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43" fontId="1" fillId="0" borderId="0" xfId="0" applyNumberFormat="1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8" xfId="1" applyFont="1" applyBorder="1" applyAlignment="1">
      <alignment horizontal="left"/>
    </xf>
    <xf numFmtId="43" fontId="4" fillId="0" borderId="8" xfId="1" applyFont="1" applyBorder="1"/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4" fillId="0" borderId="1" xfId="1" applyFont="1" applyBorder="1" applyAlignment="1">
      <alignment horizontal="right"/>
    </xf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14" fontId="4" fillId="0" borderId="8" xfId="0" applyNumberFormat="1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43" fontId="5" fillId="0" borderId="11" xfId="1" applyFont="1" applyBorder="1"/>
    <xf numFmtId="43" fontId="5" fillId="0" borderId="12" xfId="1" applyFont="1" applyBorder="1" applyAlignment="1"/>
    <xf numFmtId="43" fontId="4" fillId="0" borderId="0" xfId="1" applyFont="1" applyBorder="1" applyAlignment="1"/>
    <xf numFmtId="43" fontId="5" fillId="0" borderId="2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90"/>
  <sheetViews>
    <sheetView tabSelected="1" topLeftCell="K53" workbookViewId="0">
      <selection activeCell="Q66" sqref="Q66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0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31" t="s">
        <v>104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3"/>
    </row>
    <row r="8" spans="1:18" x14ac:dyDescent="0.25">
      <c r="A8" s="3"/>
      <c r="B8" s="3"/>
      <c r="C8" s="3"/>
      <c r="D8" s="3"/>
      <c r="E8" s="3"/>
      <c r="F8" s="3"/>
      <c r="G8" s="130" t="s">
        <v>40</v>
      </c>
      <c r="H8" s="130"/>
      <c r="I8" s="3" t="s">
        <v>78</v>
      </c>
      <c r="J8" s="130" t="s">
        <v>42</v>
      </c>
      <c r="K8" s="130"/>
      <c r="L8" s="130" t="s">
        <v>43</v>
      </c>
      <c r="M8" s="130"/>
      <c r="N8" s="3" t="s">
        <v>68</v>
      </c>
      <c r="O8" s="3" t="s">
        <v>44</v>
      </c>
      <c r="P8" s="3" t="s">
        <v>45</v>
      </c>
      <c r="Q8" s="3" t="s">
        <v>46</v>
      </c>
      <c r="R8" s="3" t="s">
        <v>69</v>
      </c>
    </row>
    <row r="9" spans="1:18" x14ac:dyDescent="0.25">
      <c r="A9" s="9" t="s">
        <v>0</v>
      </c>
      <c r="B9" s="9" t="s">
        <v>71</v>
      </c>
      <c r="C9" s="9" t="s">
        <v>66</v>
      </c>
      <c r="D9" s="9" t="s">
        <v>47</v>
      </c>
      <c r="E9" s="9" t="s">
        <v>48</v>
      </c>
      <c r="F9" s="9" t="s">
        <v>41</v>
      </c>
      <c r="G9" s="9" t="s">
        <v>70</v>
      </c>
      <c r="H9" s="9" t="s">
        <v>3</v>
      </c>
      <c r="I9" s="9"/>
      <c r="J9" s="9" t="s">
        <v>1</v>
      </c>
      <c r="K9" s="9" t="s">
        <v>105</v>
      </c>
      <c r="L9" s="9" t="s">
        <v>2</v>
      </c>
      <c r="M9" s="9" t="s">
        <v>67</v>
      </c>
      <c r="N9" s="9"/>
      <c r="O9" s="9"/>
      <c r="P9" s="9"/>
      <c r="Q9" s="9"/>
      <c r="R9" s="9"/>
    </row>
    <row r="10" spans="1:18" s="8" customFormat="1" x14ac:dyDescent="0.25">
      <c r="A10" s="112" t="s">
        <v>4</v>
      </c>
      <c r="B10" s="14" t="s">
        <v>62</v>
      </c>
      <c r="C10" s="14" t="s">
        <v>49</v>
      </c>
      <c r="D10" s="14" t="s">
        <v>80</v>
      </c>
      <c r="E10" s="15">
        <v>41218</v>
      </c>
      <c r="F10" s="16">
        <v>3743.05</v>
      </c>
      <c r="G10" s="16">
        <v>3743.05</v>
      </c>
      <c r="H10" s="16">
        <f>224.58+187.15+299.44+3715.5</f>
        <v>4426.67</v>
      </c>
      <c r="I10" s="16"/>
      <c r="J10" s="16">
        <v>4538.72</v>
      </c>
      <c r="K10" s="17">
        <f>8169.72-3826.48</f>
        <v>4343.24</v>
      </c>
      <c r="L10" s="17">
        <f>908.85+908.85+454.23</f>
        <v>2271.9300000000003</v>
      </c>
      <c r="M10" s="17">
        <f>1100.74+1100.74+446.46</f>
        <v>2647.94</v>
      </c>
      <c r="N10" s="18">
        <f>1+93.58</f>
        <v>94.58</v>
      </c>
      <c r="O10" s="17">
        <f>G10+H10+I10+J10+K10-L10-M10-N10</f>
        <v>12037.23</v>
      </c>
      <c r="P10" s="19">
        <f>942.4+141.7+3630.97</f>
        <v>4715.07</v>
      </c>
      <c r="Q10" s="18">
        <f>1048.36+21.06+37.43+349.45</f>
        <v>1456.3</v>
      </c>
      <c r="R10" s="20">
        <f>O10+P10-Q10</f>
        <v>15296</v>
      </c>
    </row>
    <row r="11" spans="1:18" s="8" customFormat="1" x14ac:dyDescent="0.25">
      <c r="A11" s="21"/>
      <c r="B11" s="21"/>
      <c r="C11" s="21"/>
      <c r="D11" s="21" t="s">
        <v>73</v>
      </c>
      <c r="E11" s="22"/>
      <c r="F11" s="23"/>
      <c r="G11" s="23"/>
      <c r="H11" s="23"/>
      <c r="I11" s="23"/>
      <c r="J11" s="23"/>
      <c r="K11" s="24"/>
      <c r="L11" s="24"/>
      <c r="M11" s="24"/>
      <c r="N11" s="24"/>
      <c r="O11" s="24"/>
      <c r="P11" s="24"/>
      <c r="Q11" s="24"/>
      <c r="R11" s="24"/>
    </row>
    <row r="12" spans="1:18" x14ac:dyDescent="0.25">
      <c r="A12" s="113" t="s">
        <v>5</v>
      </c>
      <c r="B12" s="25" t="s">
        <v>62</v>
      </c>
      <c r="C12" s="25" t="s">
        <v>51</v>
      </c>
      <c r="D12" s="21" t="s">
        <v>51</v>
      </c>
      <c r="E12" s="26">
        <v>41488</v>
      </c>
      <c r="F12" s="27">
        <v>5465.81</v>
      </c>
      <c r="G12" s="28">
        <v>0</v>
      </c>
      <c r="H12" s="28">
        <v>0</v>
      </c>
      <c r="I12" s="28"/>
      <c r="J12" s="28"/>
      <c r="K12" s="29"/>
      <c r="L12" s="29"/>
      <c r="M12" s="29"/>
      <c r="N12" s="29"/>
      <c r="O12" s="17">
        <f t="shared" ref="O12:O43" si="0">G12+H12+I12+J12+K12-L12-M12-N12</f>
        <v>0</v>
      </c>
      <c r="P12" s="29">
        <v>7720.12</v>
      </c>
      <c r="Q12" s="29"/>
      <c r="R12" s="20">
        <f>O12+P12-Q12</f>
        <v>7720.12</v>
      </c>
    </row>
    <row r="13" spans="1:18" x14ac:dyDescent="0.25">
      <c r="A13" s="112" t="s">
        <v>96</v>
      </c>
      <c r="B13" s="14" t="s">
        <v>62</v>
      </c>
      <c r="C13" s="14" t="s">
        <v>98</v>
      </c>
      <c r="D13" s="14" t="s">
        <v>97</v>
      </c>
      <c r="E13" s="15">
        <v>45551</v>
      </c>
      <c r="F13" s="30">
        <v>2340.77</v>
      </c>
      <c r="G13" s="31">
        <f>2340.77</f>
        <v>2340.77</v>
      </c>
      <c r="H13" s="31"/>
      <c r="I13" s="32"/>
      <c r="J13" s="31"/>
      <c r="K13" s="20">
        <f>780.26-390.13</f>
        <v>390.13</v>
      </c>
      <c r="L13" s="20">
        <f>189.48+58.51</f>
        <v>247.98999999999998</v>
      </c>
      <c r="M13" s="20">
        <v>0</v>
      </c>
      <c r="N13" s="33">
        <f>1+58.52</f>
        <v>59.52</v>
      </c>
      <c r="O13" s="17">
        <f t="shared" si="0"/>
        <v>2423.3900000000003</v>
      </c>
      <c r="P13" s="34">
        <f>942.4+189</f>
        <v>1131.4000000000001</v>
      </c>
      <c r="Q13" s="33"/>
      <c r="R13" s="20">
        <f t="shared" ref="R13:R60" si="1">O13+P13-Q13</f>
        <v>3554.7900000000004</v>
      </c>
    </row>
    <row r="14" spans="1:18" x14ac:dyDescent="0.25">
      <c r="A14" s="114"/>
      <c r="B14" s="21"/>
      <c r="C14" s="21"/>
      <c r="D14" s="35" t="s">
        <v>74</v>
      </c>
      <c r="E14" s="22"/>
      <c r="F14" s="36"/>
      <c r="G14" s="37"/>
      <c r="H14" s="37"/>
      <c r="I14" s="32"/>
      <c r="J14" s="37"/>
      <c r="K14" s="38"/>
      <c r="L14" s="38"/>
      <c r="M14" s="38"/>
      <c r="N14" s="39"/>
      <c r="O14" s="24">
        <f t="shared" si="0"/>
        <v>0</v>
      </c>
      <c r="P14" s="40"/>
      <c r="Q14" s="39"/>
      <c r="R14" s="38">
        <f t="shared" si="1"/>
        <v>0</v>
      </c>
    </row>
    <row r="15" spans="1:18" x14ac:dyDescent="0.25">
      <c r="A15" s="114" t="s">
        <v>6</v>
      </c>
      <c r="B15" s="21" t="s">
        <v>64</v>
      </c>
      <c r="C15" s="21" t="s">
        <v>50</v>
      </c>
      <c r="D15" s="14" t="s">
        <v>50</v>
      </c>
      <c r="E15" s="22">
        <v>41445</v>
      </c>
      <c r="F15" s="36">
        <v>2720.08</v>
      </c>
      <c r="G15" s="37">
        <v>2720.08</v>
      </c>
      <c r="H15" s="37"/>
      <c r="I15" s="37"/>
      <c r="J15" s="37"/>
      <c r="K15" s="38">
        <f>2720.08-1294.57</f>
        <v>1425.51</v>
      </c>
      <c r="L15" s="38">
        <f>225.22+225.22</f>
        <v>450.44</v>
      </c>
      <c r="M15" s="38"/>
      <c r="N15" s="38">
        <f>1+68</f>
        <v>69</v>
      </c>
      <c r="O15" s="41">
        <f t="shared" si="0"/>
        <v>3626.15</v>
      </c>
      <c r="P15" s="38">
        <f>942.4+189</f>
        <v>1131.4000000000001</v>
      </c>
      <c r="Q15" s="38">
        <f>27.2</f>
        <v>27.2</v>
      </c>
      <c r="R15" s="29">
        <f t="shared" si="1"/>
        <v>4730.3500000000004</v>
      </c>
    </row>
    <row r="16" spans="1:18" x14ac:dyDescent="0.25">
      <c r="A16" s="115" t="s">
        <v>7</v>
      </c>
      <c r="B16" s="14" t="s">
        <v>62</v>
      </c>
      <c r="C16" s="14" t="s">
        <v>52</v>
      </c>
      <c r="D16" s="14" t="s">
        <v>92</v>
      </c>
      <c r="E16" s="15">
        <v>36087</v>
      </c>
      <c r="F16" s="42">
        <v>7431</v>
      </c>
      <c r="G16" s="42">
        <v>7431</v>
      </c>
      <c r="H16" s="128"/>
      <c r="I16" s="16"/>
      <c r="J16" s="128"/>
      <c r="K16" s="126">
        <f>7431-3536.65</f>
        <v>3894.35</v>
      </c>
      <c r="L16" s="126">
        <f>859.15+859.15</f>
        <v>1718.3</v>
      </c>
      <c r="M16" s="19">
        <f>911.26+911.26</f>
        <v>1822.52</v>
      </c>
      <c r="N16" s="43">
        <f>1+94.23</f>
        <v>95.23</v>
      </c>
      <c r="O16" s="17">
        <f t="shared" si="0"/>
        <v>7689.3000000000011</v>
      </c>
      <c r="P16" s="34">
        <v>942.4</v>
      </c>
      <c r="Q16" s="33">
        <f>74.31</f>
        <v>74.31</v>
      </c>
      <c r="R16" s="20">
        <f t="shared" si="1"/>
        <v>8557.3900000000012</v>
      </c>
    </row>
    <row r="17" spans="1:18" x14ac:dyDescent="0.25">
      <c r="A17" s="44"/>
      <c r="B17" s="44"/>
      <c r="C17" s="44"/>
      <c r="D17" s="21" t="s">
        <v>73</v>
      </c>
      <c r="E17" s="45"/>
      <c r="F17" s="46"/>
      <c r="G17" s="46"/>
      <c r="H17" s="134"/>
      <c r="I17" s="23"/>
      <c r="J17" s="134"/>
      <c r="K17" s="135"/>
      <c r="L17" s="135"/>
      <c r="M17" s="47"/>
      <c r="N17" s="48"/>
      <c r="O17" s="24">
        <f t="shared" si="0"/>
        <v>0</v>
      </c>
      <c r="P17" s="40"/>
      <c r="Q17" s="39"/>
      <c r="R17" s="38">
        <f t="shared" si="1"/>
        <v>0</v>
      </c>
    </row>
    <row r="18" spans="1:18" x14ac:dyDescent="0.25">
      <c r="A18" s="116" t="s">
        <v>8</v>
      </c>
      <c r="B18" s="49" t="s">
        <v>62</v>
      </c>
      <c r="C18" s="49" t="s">
        <v>53</v>
      </c>
      <c r="D18" s="21" t="s">
        <v>53</v>
      </c>
      <c r="E18" s="50">
        <v>41218</v>
      </c>
      <c r="F18" s="51">
        <v>1996.2</v>
      </c>
      <c r="G18" s="52">
        <v>1996.2</v>
      </c>
      <c r="H18" s="52">
        <f>99.81+159.7</f>
        <v>259.51</v>
      </c>
      <c r="I18" s="52">
        <v>0</v>
      </c>
      <c r="J18" s="52"/>
      <c r="K18" s="53">
        <f>2255.71-968.51</f>
        <v>1287.2</v>
      </c>
      <c r="L18" s="53">
        <f>181.83+181.83</f>
        <v>363.66</v>
      </c>
      <c r="M18" s="53"/>
      <c r="N18" s="53">
        <f>1+49.91</f>
        <v>50.91</v>
      </c>
      <c r="O18" s="41">
        <f t="shared" si="0"/>
        <v>3128.34</v>
      </c>
      <c r="P18" s="53">
        <f>942.4+126</f>
        <v>1068.4000000000001</v>
      </c>
      <c r="Q18" s="53">
        <f>332.54+19.96</f>
        <v>352.5</v>
      </c>
      <c r="R18" s="29">
        <f t="shared" si="1"/>
        <v>3844.24</v>
      </c>
    </row>
    <row r="19" spans="1:18" x14ac:dyDescent="0.25">
      <c r="A19" s="116" t="s">
        <v>9</v>
      </c>
      <c r="B19" s="49" t="s">
        <v>62</v>
      </c>
      <c r="C19" s="49" t="s">
        <v>53</v>
      </c>
      <c r="D19" s="49" t="s">
        <v>53</v>
      </c>
      <c r="E19" s="50">
        <v>41548</v>
      </c>
      <c r="F19" s="51">
        <v>1938.06</v>
      </c>
      <c r="G19" s="52">
        <v>1938.06</v>
      </c>
      <c r="H19" s="52">
        <f>96.9+155.04+1336.85</f>
        <v>1588.79</v>
      </c>
      <c r="I19" s="52">
        <v>0</v>
      </c>
      <c r="J19" s="52"/>
      <c r="K19" s="53">
        <f>2850-1042.3</f>
        <v>1807.7</v>
      </c>
      <c r="L19" s="53">
        <f>322.04+240.81</f>
        <v>562.85</v>
      </c>
      <c r="M19" s="53">
        <f>62.87+1.95</f>
        <v>64.819999999999993</v>
      </c>
      <c r="N19" s="53">
        <f>1+48.45</f>
        <v>49.45</v>
      </c>
      <c r="O19" s="17">
        <f t="shared" si="0"/>
        <v>4657.43</v>
      </c>
      <c r="P19" s="53">
        <f>942.4+189</f>
        <v>1131.4000000000001</v>
      </c>
      <c r="Q19" s="53">
        <f>19.38</f>
        <v>19.38</v>
      </c>
      <c r="R19" s="20">
        <f t="shared" si="1"/>
        <v>5769.45</v>
      </c>
    </row>
    <row r="20" spans="1:18" x14ac:dyDescent="0.25">
      <c r="A20" s="116" t="s">
        <v>10</v>
      </c>
      <c r="B20" s="49" t="s">
        <v>62</v>
      </c>
      <c r="C20" s="49" t="s">
        <v>54</v>
      </c>
      <c r="D20" s="49" t="s">
        <v>54</v>
      </c>
      <c r="E20" s="50">
        <v>37865</v>
      </c>
      <c r="F20" s="51">
        <v>6549.45</v>
      </c>
      <c r="G20" s="52">
        <v>6549.45</v>
      </c>
      <c r="H20" s="52">
        <f>327.47+523.96</f>
        <v>851.43000000000006</v>
      </c>
      <c r="I20" s="52"/>
      <c r="J20" s="54">
        <v>6167.41</v>
      </c>
      <c r="K20" s="53">
        <f>7400.88-3522.31</f>
        <v>3878.57</v>
      </c>
      <c r="L20" s="53">
        <f>854.93+854.93+682.25</f>
        <v>2392.1099999999997</v>
      </c>
      <c r="M20" s="53">
        <f>904.14+904.14+612.42</f>
        <v>2420.6999999999998</v>
      </c>
      <c r="N20" s="53">
        <f>1+163.74</f>
        <v>164.74</v>
      </c>
      <c r="O20" s="17">
        <f t="shared" si="0"/>
        <v>12469.31</v>
      </c>
      <c r="P20" s="53">
        <f>942.4+194</f>
        <v>1136.4000000000001</v>
      </c>
      <c r="Q20" s="53">
        <f>65.49</f>
        <v>65.489999999999995</v>
      </c>
      <c r="R20" s="20">
        <f t="shared" si="1"/>
        <v>13540.22</v>
      </c>
    </row>
    <row r="21" spans="1:18" x14ac:dyDescent="0.25">
      <c r="A21" s="116" t="s">
        <v>11</v>
      </c>
      <c r="B21" s="49" t="s">
        <v>62</v>
      </c>
      <c r="C21" s="49" t="s">
        <v>50</v>
      </c>
      <c r="D21" s="49" t="s">
        <v>81</v>
      </c>
      <c r="E21" s="50">
        <v>41218</v>
      </c>
      <c r="F21" s="51">
        <v>2801.68</v>
      </c>
      <c r="G21" s="52">
        <v>2801.68</v>
      </c>
      <c r="H21" s="52">
        <f>140.08+1336.85</f>
        <v>1476.9299999999998</v>
      </c>
      <c r="I21" s="52"/>
      <c r="J21" s="52"/>
      <c r="K21" s="53">
        <f>4278.61-1714.71</f>
        <v>2563.8999999999996</v>
      </c>
      <c r="L21" s="53">
        <f>417.82+417.82</f>
        <v>835.64</v>
      </c>
      <c r="M21" s="53">
        <f>169.24+169.24</f>
        <v>338.48</v>
      </c>
      <c r="N21" s="53">
        <f>1+70.04</f>
        <v>71.040000000000006</v>
      </c>
      <c r="O21" s="17">
        <f t="shared" si="0"/>
        <v>5597.3499999999995</v>
      </c>
      <c r="P21" s="53">
        <f>942.4+378</f>
        <v>1320.4</v>
      </c>
      <c r="Q21" s="53">
        <f>599+121.28+118+228.44+52.07+28.02</f>
        <v>1146.81</v>
      </c>
      <c r="R21" s="20">
        <f t="shared" si="1"/>
        <v>5770.9400000000005</v>
      </c>
    </row>
    <row r="22" spans="1:18" x14ac:dyDescent="0.25">
      <c r="A22" s="116" t="s">
        <v>12</v>
      </c>
      <c r="B22" s="49" t="s">
        <v>65</v>
      </c>
      <c r="C22" s="49" t="s">
        <v>51</v>
      </c>
      <c r="D22" s="49" t="s">
        <v>51</v>
      </c>
      <c r="E22" s="50">
        <v>38908</v>
      </c>
      <c r="F22" s="51">
        <v>6856.52</v>
      </c>
      <c r="G22" s="52">
        <v>6856.52</v>
      </c>
      <c r="H22" s="52">
        <f>342.83+548.52</f>
        <v>891.34999999999991</v>
      </c>
      <c r="I22" s="52"/>
      <c r="J22" s="52">
        <v>3873.93</v>
      </c>
      <c r="K22" s="53">
        <f>7747.87-3580.06</f>
        <v>4167.8099999999995</v>
      </c>
      <c r="L22" s="53">
        <f>903.51+903.51+363.69</f>
        <v>2170.71</v>
      </c>
      <c r="M22" s="53">
        <f>934.06+934.06+114.93</f>
        <v>1983.05</v>
      </c>
      <c r="N22" s="55">
        <f>1</f>
        <v>1</v>
      </c>
      <c r="O22" s="17">
        <f t="shared" si="0"/>
        <v>11634.850000000002</v>
      </c>
      <c r="P22" s="53">
        <v>942.4</v>
      </c>
      <c r="Q22" s="53">
        <f>353.22+68.57+295.11+176.61</f>
        <v>893.5100000000001</v>
      </c>
      <c r="R22" s="20">
        <f t="shared" si="1"/>
        <v>11683.740000000002</v>
      </c>
    </row>
    <row r="23" spans="1:18" x14ac:dyDescent="0.25">
      <c r="A23" s="112" t="s">
        <v>13</v>
      </c>
      <c r="B23" s="14" t="s">
        <v>62</v>
      </c>
      <c r="C23" s="14" t="s">
        <v>50</v>
      </c>
      <c r="D23" s="14" t="s">
        <v>50</v>
      </c>
      <c r="E23" s="15">
        <v>35916</v>
      </c>
      <c r="F23" s="30">
        <v>3655.55</v>
      </c>
      <c r="G23" s="31">
        <f>3655.55+290.01</f>
        <v>3945.5600000000004</v>
      </c>
      <c r="H23" s="31">
        <f>219.33+182.78+292.44</f>
        <v>694.55</v>
      </c>
      <c r="I23" s="31"/>
      <c r="J23" s="31"/>
      <c r="K23" s="20">
        <f>4350.1-2070.35</f>
        <v>2279.7500000000005</v>
      </c>
      <c r="L23" s="20">
        <f>468.43+427.82</f>
        <v>896.25</v>
      </c>
      <c r="M23" s="20">
        <f>190.54+150.03</f>
        <v>340.57</v>
      </c>
      <c r="N23" s="20">
        <f>1+91.39</f>
        <v>92.39</v>
      </c>
      <c r="O23" s="17">
        <f t="shared" si="0"/>
        <v>5590.6500000000005</v>
      </c>
      <c r="P23" s="20">
        <f>942.4+189+62.82</f>
        <v>1194.22</v>
      </c>
      <c r="Q23" s="20">
        <f>798.95+902.54+137.85+36.56</f>
        <v>1875.8999999999999</v>
      </c>
      <c r="R23" s="20">
        <f t="shared" si="1"/>
        <v>4908.9700000000012</v>
      </c>
    </row>
    <row r="24" spans="1:18" x14ac:dyDescent="0.25">
      <c r="A24" s="112" t="s">
        <v>14</v>
      </c>
      <c r="B24" s="14" t="s">
        <v>62</v>
      </c>
      <c r="C24" s="14" t="s">
        <v>55</v>
      </c>
      <c r="D24" s="56" t="s">
        <v>82</v>
      </c>
      <c r="E24" s="15">
        <v>41737</v>
      </c>
      <c r="F24" s="30">
        <v>7885.99</v>
      </c>
      <c r="G24" s="31">
        <v>7885.99</v>
      </c>
      <c r="H24" s="57">
        <f>394.3+788.6+3901.27</f>
        <v>5084.17</v>
      </c>
      <c r="I24" s="58"/>
      <c r="J24" s="31">
        <v>2161.69</v>
      </c>
      <c r="K24" s="20">
        <f>12319.95-5369.34</f>
        <v>6950.6100000000006</v>
      </c>
      <c r="L24" s="20">
        <f>908.85+908.85+173.37</f>
        <v>1991.0700000000002</v>
      </c>
      <c r="M24" s="20">
        <f>2316.59+2137.78</f>
        <v>4454.3700000000008</v>
      </c>
      <c r="N24" s="33">
        <f>1</f>
        <v>1</v>
      </c>
      <c r="O24" s="17">
        <f t="shared" si="0"/>
        <v>15636.019999999999</v>
      </c>
      <c r="P24" s="34">
        <v>942.4</v>
      </c>
      <c r="Q24" s="33">
        <v>2893.54</v>
      </c>
      <c r="R24" s="20">
        <f t="shared" si="1"/>
        <v>13684.879999999997</v>
      </c>
    </row>
    <row r="25" spans="1:18" x14ac:dyDescent="0.25">
      <c r="A25" s="114"/>
      <c r="B25" s="21"/>
      <c r="C25" s="21"/>
      <c r="D25" s="59" t="s">
        <v>73</v>
      </c>
      <c r="E25" s="22"/>
      <c r="F25" s="36"/>
      <c r="G25" s="37"/>
      <c r="H25" s="60"/>
      <c r="I25" s="61"/>
      <c r="J25" s="37"/>
      <c r="K25" s="38"/>
      <c r="L25" s="38"/>
      <c r="M25" s="38"/>
      <c r="N25" s="39"/>
      <c r="O25" s="24">
        <f t="shared" si="0"/>
        <v>0</v>
      </c>
      <c r="P25" s="40"/>
      <c r="Q25" s="39"/>
      <c r="R25" s="38">
        <f t="shared" si="1"/>
        <v>0</v>
      </c>
    </row>
    <row r="26" spans="1:18" x14ac:dyDescent="0.25">
      <c r="A26" s="117" t="s">
        <v>15</v>
      </c>
      <c r="B26" s="21" t="s">
        <v>62</v>
      </c>
      <c r="C26" s="62" t="s">
        <v>56</v>
      </c>
      <c r="D26" s="62" t="s">
        <v>83</v>
      </c>
      <c r="E26" s="63">
        <v>42559</v>
      </c>
      <c r="F26" s="64">
        <v>4757.29</v>
      </c>
      <c r="G26" s="65">
        <v>4757.29</v>
      </c>
      <c r="H26" s="65">
        <v>1336.85</v>
      </c>
      <c r="I26" s="65"/>
      <c r="J26" s="65"/>
      <c r="K26" s="38">
        <f>6094.14-2619.56</f>
        <v>3474.5800000000004</v>
      </c>
      <c r="L26" s="38">
        <f>671.99+671.99</f>
        <v>1343.98</v>
      </c>
      <c r="M26" s="38">
        <f>542.95+542.95</f>
        <v>1085.9000000000001</v>
      </c>
      <c r="N26" s="38">
        <f>1+118.93</f>
        <v>119.93</v>
      </c>
      <c r="O26" s="41">
        <f t="shared" si="0"/>
        <v>7018.91</v>
      </c>
      <c r="P26" s="38">
        <f>942.4+268</f>
        <v>1210.4000000000001</v>
      </c>
      <c r="Q26" s="38">
        <f>610.22+758.27+309.1+47.57</f>
        <v>1725.16</v>
      </c>
      <c r="R26" s="29">
        <f t="shared" si="1"/>
        <v>6504.15</v>
      </c>
    </row>
    <row r="27" spans="1:18" x14ac:dyDescent="0.25">
      <c r="A27" s="115" t="s">
        <v>16</v>
      </c>
      <c r="B27" s="14" t="s">
        <v>62</v>
      </c>
      <c r="C27" s="14" t="s">
        <v>57</v>
      </c>
      <c r="D27" s="14" t="s">
        <v>84</v>
      </c>
      <c r="E27" s="15">
        <v>36951</v>
      </c>
      <c r="F27" s="42">
        <v>4603.4799999999996</v>
      </c>
      <c r="G27" s="42">
        <v>4603.4799999999996</v>
      </c>
      <c r="H27" s="42">
        <f>276.21+3715.5</f>
        <v>3991.71</v>
      </c>
      <c r="I27" s="42"/>
      <c r="J27" s="31"/>
      <c r="K27" s="126">
        <f>8595.19-4090.72</f>
        <v>4504.4700000000012</v>
      </c>
      <c r="L27" s="19">
        <f>908.85+908.85</f>
        <v>1817.7</v>
      </c>
      <c r="M27" s="19">
        <f>1217.74+1217.74</f>
        <v>2435.48</v>
      </c>
      <c r="N27" s="33">
        <f>1+115.09</f>
        <v>116.09</v>
      </c>
      <c r="O27" s="17">
        <f t="shared" si="0"/>
        <v>8730.39</v>
      </c>
      <c r="P27" s="66">
        <f>942.4+218.4</f>
        <v>1160.8</v>
      </c>
      <c r="Q27" s="33">
        <f>538.56+743.32+888.21+221.06+46.03</f>
        <v>2437.1800000000003</v>
      </c>
      <c r="R27" s="20">
        <f t="shared" si="1"/>
        <v>7454.0099999999984</v>
      </c>
    </row>
    <row r="28" spans="1:18" x14ac:dyDescent="0.25">
      <c r="A28" s="67"/>
      <c r="B28" s="67"/>
      <c r="C28" s="67"/>
      <c r="D28" s="21" t="s">
        <v>73</v>
      </c>
      <c r="E28" s="68"/>
      <c r="F28" s="69"/>
      <c r="G28" s="69"/>
      <c r="H28" s="69"/>
      <c r="I28" s="69"/>
      <c r="J28" s="28"/>
      <c r="K28" s="127"/>
      <c r="L28" s="70"/>
      <c r="M28" s="70"/>
      <c r="N28" s="71"/>
      <c r="O28" s="24">
        <f t="shared" si="0"/>
        <v>0</v>
      </c>
      <c r="P28" s="72"/>
      <c r="Q28" s="71"/>
      <c r="R28" s="29">
        <f t="shared" si="1"/>
        <v>0</v>
      </c>
    </row>
    <row r="29" spans="1:18" x14ac:dyDescent="0.25">
      <c r="A29" s="115" t="s">
        <v>99</v>
      </c>
      <c r="B29" s="56" t="s">
        <v>62</v>
      </c>
      <c r="C29" s="14" t="s">
        <v>58</v>
      </c>
      <c r="D29" s="56" t="s">
        <v>100</v>
      </c>
      <c r="E29" s="15">
        <v>45566</v>
      </c>
      <c r="F29" s="42">
        <v>3901.28</v>
      </c>
      <c r="G29" s="42">
        <v>3901.28</v>
      </c>
      <c r="H29" s="42"/>
      <c r="I29" s="73"/>
      <c r="J29" s="31"/>
      <c r="K29" s="17">
        <f>975.32-487.66</f>
        <v>487.66</v>
      </c>
      <c r="L29" s="19">
        <f>366.97+73.14</f>
        <v>440.11</v>
      </c>
      <c r="M29" s="19">
        <v>119.03</v>
      </c>
      <c r="N29" s="33">
        <f>1+97.53</f>
        <v>98.53</v>
      </c>
      <c r="O29" s="41">
        <f t="shared" si="0"/>
        <v>3731.27</v>
      </c>
      <c r="P29" s="66">
        <f>942.4+189</f>
        <v>1131.4000000000001</v>
      </c>
      <c r="Q29" s="33"/>
      <c r="R29" s="20">
        <f t="shared" si="1"/>
        <v>4862.67</v>
      </c>
    </row>
    <row r="30" spans="1:18" x14ac:dyDescent="0.25">
      <c r="A30" s="44"/>
      <c r="B30" s="59"/>
      <c r="C30" s="44"/>
      <c r="D30" s="59" t="s">
        <v>74</v>
      </c>
      <c r="E30" s="45"/>
      <c r="F30" s="46"/>
      <c r="G30" s="46"/>
      <c r="H30" s="46"/>
      <c r="I30" s="73"/>
      <c r="J30" s="37"/>
      <c r="K30" s="24"/>
      <c r="L30" s="47"/>
      <c r="M30" s="47"/>
      <c r="N30" s="39"/>
      <c r="O30" s="24">
        <f t="shared" si="0"/>
        <v>0</v>
      </c>
      <c r="P30" s="74"/>
      <c r="Q30" s="39"/>
      <c r="R30" s="38">
        <f t="shared" si="1"/>
        <v>0</v>
      </c>
    </row>
    <row r="31" spans="1:18" x14ac:dyDescent="0.25">
      <c r="A31" s="114" t="s">
        <v>17</v>
      </c>
      <c r="B31" s="21" t="s">
        <v>65</v>
      </c>
      <c r="C31" s="21" t="s">
        <v>50</v>
      </c>
      <c r="D31" s="21" t="s">
        <v>50</v>
      </c>
      <c r="E31" s="22">
        <v>35827</v>
      </c>
      <c r="F31" s="36">
        <v>3655.55</v>
      </c>
      <c r="G31" s="37">
        <v>3655.55</v>
      </c>
      <c r="H31" s="37"/>
      <c r="I31" s="37"/>
      <c r="J31" s="37">
        <v>1218.52</v>
      </c>
      <c r="K31" s="38">
        <f>3655.55-1739.79</f>
        <v>1915.7600000000002</v>
      </c>
      <c r="L31" s="38">
        <f>337.48+337.48+91.38</f>
        <v>766.34</v>
      </c>
      <c r="M31" s="38">
        <f>82.17+82.17</f>
        <v>164.34</v>
      </c>
      <c r="N31" s="38">
        <f>1</f>
        <v>1</v>
      </c>
      <c r="O31" s="41">
        <f t="shared" si="0"/>
        <v>5858.15</v>
      </c>
      <c r="P31" s="38">
        <v>942.4</v>
      </c>
      <c r="Q31" s="38">
        <f>656.5+36.56</f>
        <v>693.06</v>
      </c>
      <c r="R31" s="29">
        <f t="shared" si="1"/>
        <v>6107.49</v>
      </c>
    </row>
    <row r="32" spans="1:18" x14ac:dyDescent="0.25">
      <c r="A32" s="116" t="s">
        <v>18</v>
      </c>
      <c r="B32" s="49" t="s">
        <v>62</v>
      </c>
      <c r="C32" s="49" t="s">
        <v>52</v>
      </c>
      <c r="D32" s="49" t="s">
        <v>52</v>
      </c>
      <c r="E32" s="50">
        <v>38831</v>
      </c>
      <c r="F32" s="51">
        <v>2995.63</v>
      </c>
      <c r="G32" s="52">
        <v>2995.63</v>
      </c>
      <c r="H32" s="52"/>
      <c r="I32" s="52"/>
      <c r="J32" s="52">
        <v>3994.17</v>
      </c>
      <c r="K32" s="53">
        <f>3244.42-1638.97</f>
        <v>1605.45</v>
      </c>
      <c r="L32" s="53">
        <f>258.29+288.14+378.11</f>
        <v>924.54000000000008</v>
      </c>
      <c r="M32" s="53">
        <f>12.87+31.53+132.97</f>
        <v>177.37</v>
      </c>
      <c r="N32" s="53">
        <f>1+74.89</f>
        <v>75.89</v>
      </c>
      <c r="O32" s="17">
        <f t="shared" si="0"/>
        <v>7417.45</v>
      </c>
      <c r="P32" s="53">
        <f>942.4</f>
        <v>942.4</v>
      </c>
      <c r="Q32" s="53">
        <f>603.11+29.96+603.11+29.96</f>
        <v>1266.1400000000001</v>
      </c>
      <c r="R32" s="20">
        <f t="shared" si="1"/>
        <v>7093.71</v>
      </c>
    </row>
    <row r="33" spans="1:18" x14ac:dyDescent="0.25">
      <c r="A33" s="112" t="s">
        <v>19</v>
      </c>
      <c r="B33" s="14" t="s">
        <v>62</v>
      </c>
      <c r="C33" s="14" t="s">
        <v>55</v>
      </c>
      <c r="D33" s="14" t="s">
        <v>85</v>
      </c>
      <c r="E33" s="15">
        <v>41436</v>
      </c>
      <c r="F33" s="30">
        <v>5914.49</v>
      </c>
      <c r="G33" s="31">
        <v>5914.49</v>
      </c>
      <c r="H33" s="31">
        <f>295.72+473.16+2228.09</f>
        <v>2996.9700000000003</v>
      </c>
      <c r="I33" s="52"/>
      <c r="J33" s="31"/>
      <c r="K33" s="20">
        <f>7611.74-3180.82</f>
        <v>4430.92</v>
      </c>
      <c r="L33" s="20">
        <f>908.85+884.45</f>
        <v>1793.3000000000002</v>
      </c>
      <c r="M33" s="20">
        <f>1200.44+849.73</f>
        <v>2050.17</v>
      </c>
      <c r="N33" s="20">
        <f>1+147.86</f>
        <v>148.86000000000001</v>
      </c>
      <c r="O33" s="17">
        <f t="shared" si="0"/>
        <v>9350.0499999999975</v>
      </c>
      <c r="P33" s="20">
        <f>942.4+1554</f>
        <v>2496.4</v>
      </c>
      <c r="Q33" s="20">
        <f>692.18+59.14</f>
        <v>751.31999999999994</v>
      </c>
      <c r="R33" s="20">
        <f t="shared" si="1"/>
        <v>11095.129999999997</v>
      </c>
    </row>
    <row r="34" spans="1:18" x14ac:dyDescent="0.25">
      <c r="A34" s="118" t="s">
        <v>93</v>
      </c>
      <c r="B34" s="75" t="s">
        <v>62</v>
      </c>
      <c r="C34" s="75" t="s">
        <v>94</v>
      </c>
      <c r="D34" s="75" t="s">
        <v>95</v>
      </c>
      <c r="E34" s="76">
        <v>45512</v>
      </c>
      <c r="F34" s="77">
        <v>3901.28</v>
      </c>
      <c r="G34" s="57">
        <v>3901.28</v>
      </c>
      <c r="H34" s="31"/>
      <c r="I34" s="78"/>
      <c r="J34" s="57"/>
      <c r="K34" s="20">
        <f>1625.53-812.77</f>
        <v>812.76</v>
      </c>
      <c r="L34" s="20">
        <f>366.97+125.11</f>
        <v>492.08000000000004</v>
      </c>
      <c r="M34" s="20">
        <v>119.03</v>
      </c>
      <c r="N34" s="33">
        <f>1+97.53+94.23</f>
        <v>192.76</v>
      </c>
      <c r="O34" s="17">
        <f t="shared" si="0"/>
        <v>3910.17</v>
      </c>
      <c r="P34" s="34">
        <f>942.4+162</f>
        <v>1104.4000000000001</v>
      </c>
      <c r="Q34" s="33">
        <f>476.77</f>
        <v>476.77</v>
      </c>
      <c r="R34" s="20">
        <f t="shared" si="1"/>
        <v>4537.7999999999993</v>
      </c>
    </row>
    <row r="35" spans="1:18" x14ac:dyDescent="0.25">
      <c r="A35" s="119"/>
      <c r="B35" s="35"/>
      <c r="C35" s="35"/>
      <c r="D35" s="35" t="s">
        <v>74</v>
      </c>
      <c r="E35" s="79"/>
      <c r="F35" s="80"/>
      <c r="G35" s="60"/>
      <c r="H35" s="37"/>
      <c r="I35" s="78"/>
      <c r="J35" s="60"/>
      <c r="K35" s="38"/>
      <c r="L35" s="38"/>
      <c r="M35" s="38"/>
      <c r="N35" s="39"/>
      <c r="O35" s="24">
        <f t="shared" si="0"/>
        <v>0</v>
      </c>
      <c r="P35" s="40"/>
      <c r="Q35" s="39"/>
      <c r="R35" s="38">
        <f t="shared" si="1"/>
        <v>0</v>
      </c>
    </row>
    <row r="36" spans="1:18" x14ac:dyDescent="0.25">
      <c r="A36" s="114" t="s">
        <v>20</v>
      </c>
      <c r="B36" s="21" t="s">
        <v>65</v>
      </c>
      <c r="C36" s="21" t="s">
        <v>51</v>
      </c>
      <c r="D36" s="21" t="s">
        <v>51</v>
      </c>
      <c r="E36" s="22">
        <v>41708</v>
      </c>
      <c r="F36" s="36">
        <v>7885.99</v>
      </c>
      <c r="G36" s="37">
        <v>7885.99</v>
      </c>
      <c r="H36" s="37">
        <v>630.88</v>
      </c>
      <c r="I36" s="52"/>
      <c r="J36" s="37">
        <v>4258.4399999999996</v>
      </c>
      <c r="K36" s="38">
        <f>8516.87-3935.39</f>
        <v>4581.4800000000014</v>
      </c>
      <c r="L36" s="38">
        <f>908.85+908.85+414.99</f>
        <v>2232.69</v>
      </c>
      <c r="M36" s="38">
        <f>1091.93+1091.93+138.2</f>
        <v>2322.06</v>
      </c>
      <c r="N36" s="38">
        <f>1+31.41</f>
        <v>32.409999999999997</v>
      </c>
      <c r="O36" s="41">
        <f t="shared" si="0"/>
        <v>12769.630000000001</v>
      </c>
      <c r="P36" s="38">
        <f>942.4</f>
        <v>942.4</v>
      </c>
      <c r="Q36" s="38">
        <f>1523.06+78.86</f>
        <v>1601.9199999999998</v>
      </c>
      <c r="R36" s="29">
        <f t="shared" si="1"/>
        <v>12110.11</v>
      </c>
    </row>
    <row r="37" spans="1:18" x14ac:dyDescent="0.25">
      <c r="A37" s="120" t="s">
        <v>21</v>
      </c>
      <c r="B37" s="49" t="s">
        <v>62</v>
      </c>
      <c r="C37" s="81" t="s">
        <v>58</v>
      </c>
      <c r="D37" s="81" t="s">
        <v>58</v>
      </c>
      <c r="E37" s="82">
        <v>41830</v>
      </c>
      <c r="F37" s="83">
        <v>7656.3</v>
      </c>
      <c r="G37" s="84">
        <v>7656.3</v>
      </c>
      <c r="H37" s="84">
        <f>382.82+612.5</f>
        <v>995.31999999999994</v>
      </c>
      <c r="I37" s="84"/>
      <c r="J37" s="84"/>
      <c r="K37" s="53">
        <f>8651.62-4117.58</f>
        <v>4534.0400000000009</v>
      </c>
      <c r="L37" s="53">
        <f>908.85+908.85</f>
        <v>1817.7</v>
      </c>
      <c r="M37" s="53">
        <f>1076.85+1076.85</f>
        <v>2153.6999999999998</v>
      </c>
      <c r="N37" s="53">
        <f>1</f>
        <v>1</v>
      </c>
      <c r="O37" s="17">
        <f t="shared" si="0"/>
        <v>9213.260000000002</v>
      </c>
      <c r="P37" s="53">
        <f>942.4</f>
        <v>942.4</v>
      </c>
      <c r="Q37" s="53">
        <f>673.95+1357.32+275.32+76.56</f>
        <v>2383.15</v>
      </c>
      <c r="R37" s="20">
        <f t="shared" si="1"/>
        <v>7772.510000000002</v>
      </c>
    </row>
    <row r="38" spans="1:18" x14ac:dyDescent="0.25">
      <c r="A38" s="116" t="s">
        <v>22</v>
      </c>
      <c r="B38" s="49" t="s">
        <v>64</v>
      </c>
      <c r="C38" s="49" t="s">
        <v>51</v>
      </c>
      <c r="D38" s="14" t="s">
        <v>51</v>
      </c>
      <c r="E38" s="50">
        <v>39022</v>
      </c>
      <c r="F38" s="51">
        <v>6656.52</v>
      </c>
      <c r="G38" s="52">
        <v>6856.52</v>
      </c>
      <c r="H38" s="52">
        <v>548.52</v>
      </c>
      <c r="I38" s="52"/>
      <c r="J38" s="52"/>
      <c r="K38" s="53">
        <f>7405.04-3421.65</f>
        <v>3983.39</v>
      </c>
      <c r="L38" s="53">
        <f>855.52+855.52</f>
        <v>1711.04</v>
      </c>
      <c r="M38" s="53">
        <f>800.84+800.84</f>
        <v>1601.68</v>
      </c>
      <c r="N38" s="53">
        <f>1</f>
        <v>1</v>
      </c>
      <c r="O38" s="17">
        <f t="shared" si="0"/>
        <v>8074.7099999999991</v>
      </c>
      <c r="P38" s="53">
        <f>942.4</f>
        <v>942.4</v>
      </c>
      <c r="Q38" s="53">
        <v>68.569999999999993</v>
      </c>
      <c r="R38" s="20">
        <f t="shared" si="1"/>
        <v>8948.5399999999991</v>
      </c>
    </row>
    <row r="39" spans="1:18" x14ac:dyDescent="0.25">
      <c r="A39" s="115" t="s">
        <v>23</v>
      </c>
      <c r="B39" s="14" t="s">
        <v>62</v>
      </c>
      <c r="C39" s="75" t="s">
        <v>72</v>
      </c>
      <c r="D39" s="14" t="s">
        <v>86</v>
      </c>
      <c r="E39" s="85">
        <v>44565</v>
      </c>
      <c r="F39" s="42">
        <v>7802.54</v>
      </c>
      <c r="G39" s="42">
        <v>7802.54</v>
      </c>
      <c r="H39" s="128"/>
      <c r="I39" s="16"/>
      <c r="J39" s="128"/>
      <c r="K39" s="126">
        <f>7802.54-3536.65</f>
        <v>4265.8899999999994</v>
      </c>
      <c r="L39" s="19">
        <f>908.85+908.85</f>
        <v>1817.7</v>
      </c>
      <c r="M39" s="19">
        <f>999.76+999.76</f>
        <v>1999.52</v>
      </c>
      <c r="N39" s="43">
        <f>1</f>
        <v>1</v>
      </c>
      <c r="O39" s="17">
        <f t="shared" si="0"/>
        <v>8250.2099999999991</v>
      </c>
      <c r="P39" s="34">
        <f>942.4</f>
        <v>942.4</v>
      </c>
      <c r="Q39" s="124"/>
      <c r="R39" s="20">
        <f t="shared" si="1"/>
        <v>9192.6099999999988</v>
      </c>
    </row>
    <row r="40" spans="1:18" x14ac:dyDescent="0.25">
      <c r="A40" s="67"/>
      <c r="B40" s="67"/>
      <c r="C40" s="87"/>
      <c r="D40" s="25" t="s">
        <v>74</v>
      </c>
      <c r="E40" s="88"/>
      <c r="F40" s="69"/>
      <c r="G40" s="69"/>
      <c r="H40" s="129"/>
      <c r="I40" s="89"/>
      <c r="J40" s="129"/>
      <c r="K40" s="127"/>
      <c r="L40" s="70"/>
      <c r="M40" s="70"/>
      <c r="N40" s="90"/>
      <c r="O40" s="24">
        <f t="shared" si="0"/>
        <v>0</v>
      </c>
      <c r="P40" s="91"/>
      <c r="Q40" s="125"/>
      <c r="R40" s="29">
        <f t="shared" si="1"/>
        <v>0</v>
      </c>
    </row>
    <row r="41" spans="1:18" x14ac:dyDescent="0.25">
      <c r="A41" s="121" t="s">
        <v>79</v>
      </c>
      <c r="B41" s="14" t="s">
        <v>62</v>
      </c>
      <c r="C41" s="92" t="s">
        <v>58</v>
      </c>
      <c r="D41" s="56" t="s">
        <v>87</v>
      </c>
      <c r="E41" s="76">
        <v>45475</v>
      </c>
      <c r="F41" s="93">
        <v>7802.54</v>
      </c>
      <c r="G41" s="42">
        <v>7802.54</v>
      </c>
      <c r="H41" s="16"/>
      <c r="I41" s="94"/>
      <c r="J41" s="95"/>
      <c r="K41" s="17">
        <f>3901.27-1950.64</f>
        <v>1950.6299999999999</v>
      </c>
      <c r="L41" s="19">
        <f>908.85+366.97</f>
        <v>1275.8200000000002</v>
      </c>
      <c r="M41" s="19">
        <f>999.76+119.03</f>
        <v>1118.79</v>
      </c>
      <c r="N41" s="43">
        <f>1</f>
        <v>1</v>
      </c>
      <c r="O41" s="41">
        <f t="shared" si="0"/>
        <v>7357.56</v>
      </c>
      <c r="P41" s="34">
        <v>942.4</v>
      </c>
      <c r="Q41" s="96"/>
      <c r="R41" s="20">
        <f t="shared" si="1"/>
        <v>8299.9600000000009</v>
      </c>
    </row>
    <row r="42" spans="1:18" x14ac:dyDescent="0.25">
      <c r="A42" s="122"/>
      <c r="B42" s="21"/>
      <c r="C42" s="62"/>
      <c r="D42" s="59" t="s">
        <v>74</v>
      </c>
      <c r="E42" s="79"/>
      <c r="F42" s="97"/>
      <c r="G42" s="46"/>
      <c r="H42" s="23"/>
      <c r="I42" s="98"/>
      <c r="J42" s="99"/>
      <c r="K42" s="24"/>
      <c r="L42" s="47"/>
      <c r="M42" s="47"/>
      <c r="N42" s="48"/>
      <c r="O42" s="17">
        <f t="shared" si="0"/>
        <v>0</v>
      </c>
      <c r="P42" s="40"/>
      <c r="Q42" s="100"/>
      <c r="R42" s="38">
        <f t="shared" si="1"/>
        <v>0</v>
      </c>
    </row>
    <row r="43" spans="1:18" x14ac:dyDescent="0.25">
      <c r="A43" s="114" t="s">
        <v>24</v>
      </c>
      <c r="B43" s="21" t="s">
        <v>62</v>
      </c>
      <c r="C43" s="62" t="s">
        <v>58</v>
      </c>
      <c r="D43" s="62" t="s">
        <v>58</v>
      </c>
      <c r="E43" s="22">
        <v>41730</v>
      </c>
      <c r="F43" s="36">
        <v>7885.99</v>
      </c>
      <c r="G43" s="37">
        <v>7885.99</v>
      </c>
      <c r="H43" s="37">
        <f>394.3+630.88</f>
        <v>1025.18</v>
      </c>
      <c r="I43" s="37"/>
      <c r="J43" s="37"/>
      <c r="K43" s="38">
        <f>8911.17-4117.58</f>
        <v>4793.59</v>
      </c>
      <c r="L43" s="38">
        <f>908.85+908.85</f>
        <v>1817.7</v>
      </c>
      <c r="M43" s="38">
        <f>1304.64+1304.64</f>
        <v>2609.2800000000002</v>
      </c>
      <c r="N43" s="38">
        <f>1</f>
        <v>1</v>
      </c>
      <c r="O43" s="17">
        <f t="shared" si="0"/>
        <v>9276.7799999999988</v>
      </c>
      <c r="P43" s="38">
        <v>942.4</v>
      </c>
      <c r="Q43" s="38">
        <f>876.14</f>
        <v>876.14</v>
      </c>
      <c r="R43" s="29">
        <f t="shared" si="1"/>
        <v>9343.0399999999991</v>
      </c>
    </row>
    <row r="44" spans="1:18" x14ac:dyDescent="0.25">
      <c r="A44" s="116" t="s">
        <v>25</v>
      </c>
      <c r="B44" s="49" t="s">
        <v>62</v>
      </c>
      <c r="C44" s="49" t="s">
        <v>50</v>
      </c>
      <c r="D44" s="49" t="s">
        <v>50</v>
      </c>
      <c r="E44" s="50">
        <v>41823</v>
      </c>
      <c r="F44" s="51">
        <v>2640.84</v>
      </c>
      <c r="G44" s="52">
        <v>2640.84</v>
      </c>
      <c r="H44" s="52">
        <f>132.04+211.27</f>
        <v>343.31</v>
      </c>
      <c r="I44" s="52"/>
      <c r="J44" s="52"/>
      <c r="K44" s="53">
        <f>2984.15-1420.25</f>
        <v>1563.9</v>
      </c>
      <c r="L44" s="53">
        <f>256.91+256.91</f>
        <v>513.82000000000005</v>
      </c>
      <c r="M44" s="53">
        <f>12.01+12.01</f>
        <v>24.02</v>
      </c>
      <c r="N44" s="53">
        <f>1+66.02</f>
        <v>67.02</v>
      </c>
      <c r="O44" s="17">
        <f t="shared" ref="O44:O61" si="2">G44+H44+I44+J44+K44-L44-M44-N44</f>
        <v>3943.19</v>
      </c>
      <c r="P44" s="53">
        <f>942.4+218</f>
        <v>1160.4000000000001</v>
      </c>
      <c r="Q44" s="53">
        <f>26.41</f>
        <v>26.41</v>
      </c>
      <c r="R44" s="20">
        <f t="shared" si="1"/>
        <v>5077.18</v>
      </c>
    </row>
    <row r="45" spans="1:18" x14ac:dyDescent="0.25">
      <c r="A45" s="116" t="s">
        <v>26</v>
      </c>
      <c r="B45" s="49" t="s">
        <v>62</v>
      </c>
      <c r="C45" s="49" t="s">
        <v>51</v>
      </c>
      <c r="D45" s="49" t="s">
        <v>88</v>
      </c>
      <c r="E45" s="50">
        <v>39295</v>
      </c>
      <c r="F45" s="51">
        <v>8875.44</v>
      </c>
      <c r="G45" s="52">
        <v>8875.44</v>
      </c>
      <c r="H45" s="52">
        <f>443.77+1336.85+710.04</f>
        <v>2490.66</v>
      </c>
      <c r="I45" s="52"/>
      <c r="J45" s="52"/>
      <c r="K45" s="53">
        <f>11366.1-5375.92</f>
        <v>5990.18</v>
      </c>
      <c r="L45" s="53">
        <f>908.85+908.85</f>
        <v>1817.7</v>
      </c>
      <c r="M45" s="53">
        <f>1927.61+1927.61</f>
        <v>3855.22</v>
      </c>
      <c r="N45" s="53">
        <f>1</f>
        <v>1</v>
      </c>
      <c r="O45" s="17">
        <f t="shared" si="2"/>
        <v>11682.359999999999</v>
      </c>
      <c r="P45" s="53">
        <v>942.4</v>
      </c>
      <c r="Q45" s="53">
        <f>1793.5+413.49+465.98+132.64+88.75</f>
        <v>2894.3599999999997</v>
      </c>
      <c r="R45" s="20">
        <f t="shared" si="1"/>
        <v>9730.3999999999978</v>
      </c>
    </row>
    <row r="46" spans="1:18" x14ac:dyDescent="0.25">
      <c r="A46" s="116" t="s">
        <v>27</v>
      </c>
      <c r="B46" s="49" t="s">
        <v>62</v>
      </c>
      <c r="C46" s="49" t="s">
        <v>59</v>
      </c>
      <c r="D46" s="49" t="s">
        <v>59</v>
      </c>
      <c r="E46" s="50">
        <v>35309</v>
      </c>
      <c r="F46" s="51">
        <v>2697.31</v>
      </c>
      <c r="G46" s="52">
        <v>2697.31</v>
      </c>
      <c r="H46" s="52"/>
      <c r="I46" s="52"/>
      <c r="J46" s="52"/>
      <c r="K46" s="53">
        <f>2697.31-1283.73</f>
        <v>1413.58</v>
      </c>
      <c r="L46" s="53">
        <f>222.49+222.49</f>
        <v>444.98</v>
      </c>
      <c r="M46" s="53">
        <v>0</v>
      </c>
      <c r="N46" s="53">
        <f>1+67.43</f>
        <v>68.430000000000007</v>
      </c>
      <c r="O46" s="17">
        <f t="shared" si="2"/>
        <v>3597.4799999999996</v>
      </c>
      <c r="P46" s="53">
        <f>942.4+422.1</f>
        <v>1364.5</v>
      </c>
      <c r="Q46" s="53">
        <f>378+236+26.97</f>
        <v>640.97</v>
      </c>
      <c r="R46" s="20">
        <f t="shared" si="1"/>
        <v>4321.0099999999993</v>
      </c>
    </row>
    <row r="47" spans="1:18" x14ac:dyDescent="0.25">
      <c r="A47" s="116" t="s">
        <v>28</v>
      </c>
      <c r="B47" s="49" t="s">
        <v>62</v>
      </c>
      <c r="C47" s="49" t="s">
        <v>50</v>
      </c>
      <c r="D47" s="49" t="s">
        <v>89</v>
      </c>
      <c r="E47" s="50">
        <v>35829</v>
      </c>
      <c r="F47" s="51">
        <v>3655.55</v>
      </c>
      <c r="G47" s="52">
        <v>3655.55</v>
      </c>
      <c r="H47" s="52">
        <v>1336.85</v>
      </c>
      <c r="I47" s="52"/>
      <c r="J47" s="52">
        <v>832.07</v>
      </c>
      <c r="K47" s="53">
        <f>4992.4-2095.2</f>
        <v>2897.2</v>
      </c>
      <c r="L47" s="53">
        <f>517.75+517.75+62.4</f>
        <v>1097.9000000000001</v>
      </c>
      <c r="M47" s="53">
        <f>301.37+301.37</f>
        <v>602.74</v>
      </c>
      <c r="N47" s="53">
        <f>1+91.39</f>
        <v>92.39</v>
      </c>
      <c r="O47" s="17">
        <f t="shared" si="2"/>
        <v>6928.6399999999985</v>
      </c>
      <c r="P47" s="53">
        <f>942.4+144</f>
        <v>1086.4000000000001</v>
      </c>
      <c r="Q47" s="53">
        <f>661.39+137.6+407+644.72+190.25+36.56+107.45</f>
        <v>2184.9699999999998</v>
      </c>
      <c r="R47" s="20">
        <f t="shared" si="1"/>
        <v>5830.07</v>
      </c>
    </row>
    <row r="48" spans="1:18" x14ac:dyDescent="0.25">
      <c r="A48" s="116" t="s">
        <v>29</v>
      </c>
      <c r="B48" s="49" t="s">
        <v>62</v>
      </c>
      <c r="C48" s="49" t="s">
        <v>51</v>
      </c>
      <c r="D48" s="14" t="s">
        <v>51</v>
      </c>
      <c r="E48" s="50">
        <v>41505</v>
      </c>
      <c r="F48" s="51">
        <v>5914.49</v>
      </c>
      <c r="G48" s="52">
        <v>5914.49</v>
      </c>
      <c r="H48" s="52">
        <f>295.72+473.16</f>
        <v>768.88000000000011</v>
      </c>
      <c r="I48" s="52"/>
      <c r="J48" s="52">
        <v>6460.59</v>
      </c>
      <c r="K48" s="53">
        <f>6683.37-3180.82</f>
        <v>3502.5499999999997</v>
      </c>
      <c r="L48" s="53">
        <f>754.48+754.48+723.29</f>
        <v>2232.25</v>
      </c>
      <c r="M48" s="53">
        <f>682.31+682.31+629.62</f>
        <v>1994.2399999999998</v>
      </c>
      <c r="N48" s="53">
        <f>1</f>
        <v>1</v>
      </c>
      <c r="O48" s="17">
        <f t="shared" si="2"/>
        <v>12419.019999999999</v>
      </c>
      <c r="P48" s="53">
        <v>942.4</v>
      </c>
      <c r="Q48" s="53">
        <f>59.14</f>
        <v>59.14</v>
      </c>
      <c r="R48" s="20">
        <f t="shared" si="1"/>
        <v>13302.279999999999</v>
      </c>
    </row>
    <row r="49" spans="1:18" x14ac:dyDescent="0.25">
      <c r="A49" s="115" t="s">
        <v>30</v>
      </c>
      <c r="B49" s="14" t="s">
        <v>62</v>
      </c>
      <c r="C49" s="75" t="s">
        <v>60</v>
      </c>
      <c r="D49" s="14" t="s">
        <v>90</v>
      </c>
      <c r="E49" s="15">
        <v>44201</v>
      </c>
      <c r="F49" s="42">
        <v>7431</v>
      </c>
      <c r="G49" s="42">
        <v>7431</v>
      </c>
      <c r="H49" s="128"/>
      <c r="I49" s="16"/>
      <c r="J49" s="128"/>
      <c r="K49" s="126">
        <f>7431-3536.65</f>
        <v>3894.35</v>
      </c>
      <c r="L49" s="19">
        <f>859.15+859.15</f>
        <v>1718.3</v>
      </c>
      <c r="M49" s="19">
        <f>859.12+859.12</f>
        <v>1718.24</v>
      </c>
      <c r="N49" s="43">
        <f>1+94.23</f>
        <v>95.23</v>
      </c>
      <c r="O49" s="17">
        <f t="shared" si="2"/>
        <v>7793.5800000000017</v>
      </c>
      <c r="P49" s="34">
        <v>942.4</v>
      </c>
      <c r="Q49" s="136">
        <f>326.53+33.16</f>
        <v>359.68999999999994</v>
      </c>
      <c r="R49" s="20">
        <f t="shared" si="1"/>
        <v>8376.2900000000009</v>
      </c>
    </row>
    <row r="50" spans="1:18" x14ac:dyDescent="0.25">
      <c r="A50" s="44"/>
      <c r="B50" s="44"/>
      <c r="C50" s="101"/>
      <c r="D50" s="25" t="s">
        <v>74</v>
      </c>
      <c r="E50" s="45"/>
      <c r="F50" s="46"/>
      <c r="G50" s="46"/>
      <c r="H50" s="134"/>
      <c r="I50" s="23"/>
      <c r="J50" s="134"/>
      <c r="K50" s="135"/>
      <c r="L50" s="47"/>
      <c r="M50" s="47"/>
      <c r="N50" s="48"/>
      <c r="O50" s="24">
        <f t="shared" si="2"/>
        <v>0</v>
      </c>
      <c r="P50" s="40"/>
      <c r="Q50" s="137"/>
      <c r="R50" s="38">
        <f t="shared" si="1"/>
        <v>0</v>
      </c>
    </row>
    <row r="51" spans="1:18" x14ac:dyDescent="0.25">
      <c r="A51" s="116" t="s">
        <v>31</v>
      </c>
      <c r="B51" s="49" t="s">
        <v>62</v>
      </c>
      <c r="C51" s="49" t="s">
        <v>50</v>
      </c>
      <c r="D51" s="49" t="s">
        <v>50</v>
      </c>
      <c r="E51" s="50">
        <v>33581</v>
      </c>
      <c r="F51" s="51">
        <v>3765.23</v>
      </c>
      <c r="G51" s="52">
        <v>3765.23</v>
      </c>
      <c r="H51" s="52"/>
      <c r="I51" s="52"/>
      <c r="J51" s="52">
        <v>3137.69</v>
      </c>
      <c r="K51" s="53">
        <f>3765.23-1791.99</f>
        <v>1973.24</v>
      </c>
      <c r="L51" s="53">
        <f>350.64+350.64+275.34</f>
        <v>976.61999999999989</v>
      </c>
      <c r="M51" s="53">
        <f>98.62+98.62+23.53</f>
        <v>220.77</v>
      </c>
      <c r="N51" s="53">
        <f>1+94.13</f>
        <v>95.13</v>
      </c>
      <c r="O51" s="41">
        <f t="shared" si="2"/>
        <v>7583.6399999999994</v>
      </c>
      <c r="P51" s="53">
        <f>942.4+90</f>
        <v>1032.4000000000001</v>
      </c>
      <c r="Q51" s="53">
        <f>603.11+37.65+301.56</f>
        <v>942.31999999999994</v>
      </c>
      <c r="R51" s="29">
        <f t="shared" si="1"/>
        <v>7673.7199999999993</v>
      </c>
    </row>
    <row r="52" spans="1:18" x14ac:dyDescent="0.25">
      <c r="A52" s="116" t="s">
        <v>32</v>
      </c>
      <c r="B52" s="49" t="s">
        <v>62</v>
      </c>
      <c r="C52" s="49" t="s">
        <v>50</v>
      </c>
      <c r="D52" s="49" t="s">
        <v>61</v>
      </c>
      <c r="E52" s="50">
        <v>35339</v>
      </c>
      <c r="F52" s="51">
        <v>3765.23</v>
      </c>
      <c r="G52" s="52">
        <v>3388.71</v>
      </c>
      <c r="H52" s="52">
        <v>1203.1600000000001</v>
      </c>
      <c r="I52" s="52"/>
      <c r="J52" s="52"/>
      <c r="K52" s="53">
        <f>5102.08-2147.4</f>
        <v>2954.68</v>
      </c>
      <c r="L52" s="53">
        <f>479.79+533.1</f>
        <v>1012.8900000000001</v>
      </c>
      <c r="M52" s="53">
        <f>243.32+358.12</f>
        <v>601.44000000000005</v>
      </c>
      <c r="N52" s="53">
        <f>1+84.72</f>
        <v>85.72</v>
      </c>
      <c r="O52" s="17">
        <f t="shared" si="2"/>
        <v>5846.4999999999991</v>
      </c>
      <c r="P52" s="53">
        <f>942.4+203.7</f>
        <v>1146.0999999999999</v>
      </c>
      <c r="Q52" s="53">
        <f>875.99+141.99+195+37.65+16.09</f>
        <v>1266.72</v>
      </c>
      <c r="R52" s="20">
        <f t="shared" si="1"/>
        <v>5725.8799999999983</v>
      </c>
    </row>
    <row r="53" spans="1:18" x14ac:dyDescent="0.25">
      <c r="A53" s="116" t="s">
        <v>33</v>
      </c>
      <c r="B53" s="49" t="s">
        <v>62</v>
      </c>
      <c r="C53" s="49" t="s">
        <v>50</v>
      </c>
      <c r="D53" s="49" t="s">
        <v>50</v>
      </c>
      <c r="E53" s="50">
        <v>31761</v>
      </c>
      <c r="F53" s="51">
        <v>4627.83</v>
      </c>
      <c r="G53" s="52">
        <v>4627.83</v>
      </c>
      <c r="H53" s="52">
        <f>231.39+277.67</f>
        <v>509.06</v>
      </c>
      <c r="I53" s="52"/>
      <c r="J53" s="52"/>
      <c r="K53" s="53">
        <f>5136.89-2444.81</f>
        <v>2692.0800000000004</v>
      </c>
      <c r="L53" s="53">
        <f>537.98+537.98</f>
        <v>1075.96</v>
      </c>
      <c r="M53" s="53">
        <f>329.33+329.33</f>
        <v>658.66</v>
      </c>
      <c r="N53" s="53">
        <f>1+115.7</f>
        <v>116.7</v>
      </c>
      <c r="O53" s="17">
        <f t="shared" si="2"/>
        <v>5977.6500000000015</v>
      </c>
      <c r="P53" s="53">
        <f>942.4+189</f>
        <v>1131.4000000000001</v>
      </c>
      <c r="Q53" s="53">
        <f>346.36+175.78+64.36+46.28</f>
        <v>632.78</v>
      </c>
      <c r="R53" s="20">
        <f t="shared" si="1"/>
        <v>6476.2700000000013</v>
      </c>
    </row>
    <row r="54" spans="1:18" x14ac:dyDescent="0.25">
      <c r="A54" s="116" t="s">
        <v>34</v>
      </c>
      <c r="B54" s="49" t="s">
        <v>62</v>
      </c>
      <c r="C54" s="49" t="s">
        <v>50</v>
      </c>
      <c r="D54" s="49" t="s">
        <v>50</v>
      </c>
      <c r="E54" s="50">
        <v>41218</v>
      </c>
      <c r="F54" s="51">
        <v>2801.68</v>
      </c>
      <c r="G54" s="52">
        <v>2801.68</v>
      </c>
      <c r="H54" s="52"/>
      <c r="I54" s="52"/>
      <c r="J54" s="52"/>
      <c r="K54" s="53">
        <f>2801.68-1294.57</f>
        <v>1507.11</v>
      </c>
      <c r="L54" s="53">
        <f>235.02+235.02</f>
        <v>470.04</v>
      </c>
      <c r="M54" s="53">
        <v>0</v>
      </c>
      <c r="N54" s="53">
        <f>1+70.04</f>
        <v>71.040000000000006</v>
      </c>
      <c r="O54" s="17">
        <f t="shared" si="2"/>
        <v>3767.71</v>
      </c>
      <c r="P54" s="53">
        <f>942.4+189</f>
        <v>1131.4000000000001</v>
      </c>
      <c r="Q54" s="53">
        <f>326.53+28.02</f>
        <v>354.54999999999995</v>
      </c>
      <c r="R54" s="20">
        <f t="shared" si="1"/>
        <v>4544.5600000000004</v>
      </c>
    </row>
    <row r="55" spans="1:18" x14ac:dyDescent="0.25">
      <c r="A55" s="116" t="s">
        <v>35</v>
      </c>
      <c r="B55" s="49" t="s">
        <v>62</v>
      </c>
      <c r="C55" s="49" t="s">
        <v>51</v>
      </c>
      <c r="D55" s="49" t="s">
        <v>51</v>
      </c>
      <c r="E55" s="50">
        <v>42982</v>
      </c>
      <c r="F55" s="51">
        <v>7216.85</v>
      </c>
      <c r="G55" s="52">
        <v>7216.85</v>
      </c>
      <c r="H55" s="52">
        <f>360.84+577.35</f>
        <v>938.19</v>
      </c>
      <c r="I55" s="52"/>
      <c r="J55" s="52"/>
      <c r="K55" s="53">
        <f>8155.04-3881.25</f>
        <v>4273.79</v>
      </c>
      <c r="L55" s="53">
        <f>908.85+908.85</f>
        <v>1817.7</v>
      </c>
      <c r="M55" s="53">
        <f>1096.7+1096.7</f>
        <v>2193.4</v>
      </c>
      <c r="N55" s="53">
        <f>1</f>
        <v>1</v>
      </c>
      <c r="O55" s="17">
        <f t="shared" si="2"/>
        <v>8416.7300000000014</v>
      </c>
      <c r="P55" s="53">
        <v>942.4</v>
      </c>
      <c r="Q55" s="53">
        <f>72.17</f>
        <v>72.17</v>
      </c>
      <c r="R55" s="20">
        <f t="shared" si="1"/>
        <v>9286.9600000000009</v>
      </c>
    </row>
    <row r="56" spans="1:18" x14ac:dyDescent="0.25">
      <c r="A56" s="116" t="s">
        <v>36</v>
      </c>
      <c r="B56" s="49" t="s">
        <v>62</v>
      </c>
      <c r="C56" s="49" t="s">
        <v>54</v>
      </c>
      <c r="D56" s="49" t="s">
        <v>54</v>
      </c>
      <c r="E56" s="50">
        <v>41823</v>
      </c>
      <c r="F56" s="51">
        <v>4593.78</v>
      </c>
      <c r="G56" s="52">
        <v>4593.78</v>
      </c>
      <c r="H56" s="52">
        <f>229.69+367.5</f>
        <v>597.19000000000005</v>
      </c>
      <c r="I56" s="52"/>
      <c r="J56" s="52"/>
      <c r="K56" s="53">
        <f>5190.97-2470.55</f>
        <v>2720.42</v>
      </c>
      <c r="L56" s="53">
        <f>545.55+545.55</f>
        <v>1091.0999999999999</v>
      </c>
      <c r="M56" s="53">
        <f>378.12+378.12</f>
        <v>756.24</v>
      </c>
      <c r="N56" s="53">
        <f>1+114.84</f>
        <v>115.84</v>
      </c>
      <c r="O56" s="17">
        <f t="shared" si="2"/>
        <v>5948.2099999999991</v>
      </c>
      <c r="P56" s="53">
        <f>942.4+189</f>
        <v>1131.4000000000001</v>
      </c>
      <c r="Q56" s="53">
        <f>45.94</f>
        <v>45.94</v>
      </c>
      <c r="R56" s="20">
        <f t="shared" si="1"/>
        <v>7033.6699999999992</v>
      </c>
    </row>
    <row r="57" spans="1:18" x14ac:dyDescent="0.25">
      <c r="A57" s="116" t="s">
        <v>37</v>
      </c>
      <c r="B57" s="49" t="s">
        <v>62</v>
      </c>
      <c r="C57" s="49" t="s">
        <v>51</v>
      </c>
      <c r="D57" s="14" t="s">
        <v>51</v>
      </c>
      <c r="E57" s="50">
        <v>41708</v>
      </c>
      <c r="F57" s="51">
        <v>5914.48</v>
      </c>
      <c r="G57" s="52">
        <v>5914.48</v>
      </c>
      <c r="H57" s="52">
        <f>295.72+473.16</f>
        <v>768.88000000000011</v>
      </c>
      <c r="I57" s="52"/>
      <c r="J57" s="52">
        <v>2673.34</v>
      </c>
      <c r="K57" s="53">
        <f>6683.36-3088.18</f>
        <v>3595.18</v>
      </c>
      <c r="L57" s="53">
        <v>0</v>
      </c>
      <c r="M57" s="53">
        <f>786.6+786.6</f>
        <v>1573.2</v>
      </c>
      <c r="N57" s="53">
        <f>1</f>
        <v>1</v>
      </c>
      <c r="O57" s="17">
        <f t="shared" si="2"/>
        <v>11377.68</v>
      </c>
      <c r="P57" s="53">
        <v>942.4</v>
      </c>
      <c r="Q57" s="53">
        <f>59.14</f>
        <v>59.14</v>
      </c>
      <c r="R57" s="20">
        <f t="shared" si="1"/>
        <v>12260.94</v>
      </c>
    </row>
    <row r="58" spans="1:18" x14ac:dyDescent="0.25">
      <c r="A58" s="115" t="s">
        <v>38</v>
      </c>
      <c r="B58" s="14" t="s">
        <v>62</v>
      </c>
      <c r="C58" s="75" t="s">
        <v>51</v>
      </c>
      <c r="D58" s="14" t="s">
        <v>91</v>
      </c>
      <c r="E58" s="85">
        <v>36739</v>
      </c>
      <c r="F58" s="42">
        <v>10289.06</v>
      </c>
      <c r="G58" s="42">
        <v>10289.06</v>
      </c>
      <c r="H58" s="42">
        <f>514.45+3715.5+823.12</f>
        <v>5053.07</v>
      </c>
      <c r="I58" s="42"/>
      <c r="J58" s="42">
        <v>5625.45</v>
      </c>
      <c r="K58" s="126">
        <f>15342.13-7140.63</f>
        <v>8201.5</v>
      </c>
      <c r="L58" s="20">
        <f>908.85+908.85+606.37</f>
        <v>2424.0700000000002</v>
      </c>
      <c r="M58" s="19">
        <f>3073.15+3073.15+484.25</f>
        <v>6630.55</v>
      </c>
      <c r="N58" s="43">
        <f>1+125.64</f>
        <v>126.64</v>
      </c>
      <c r="O58" s="17">
        <f t="shared" si="2"/>
        <v>19987.82</v>
      </c>
      <c r="P58" s="34">
        <v>942.4</v>
      </c>
      <c r="Q58" s="43">
        <f>102.89</f>
        <v>102.89</v>
      </c>
      <c r="R58" s="20">
        <f t="shared" si="1"/>
        <v>20827.330000000002</v>
      </c>
    </row>
    <row r="59" spans="1:18" x14ac:dyDescent="0.25">
      <c r="A59" s="44"/>
      <c r="B59" s="44"/>
      <c r="C59" s="101"/>
      <c r="D59" s="21" t="s">
        <v>73</v>
      </c>
      <c r="E59" s="102"/>
      <c r="F59" s="46"/>
      <c r="G59" s="46"/>
      <c r="H59" s="46"/>
      <c r="I59" s="46"/>
      <c r="J59" s="46"/>
      <c r="K59" s="135"/>
      <c r="L59" s="38"/>
      <c r="M59" s="47"/>
      <c r="N59" s="48"/>
      <c r="O59" s="24">
        <f t="shared" si="2"/>
        <v>0</v>
      </c>
      <c r="P59" s="40"/>
      <c r="Q59" s="48"/>
      <c r="R59" s="38">
        <f t="shared" si="1"/>
        <v>0</v>
      </c>
    </row>
    <row r="60" spans="1:18" x14ac:dyDescent="0.25">
      <c r="A60" s="112" t="s">
        <v>39</v>
      </c>
      <c r="B60" s="14" t="s">
        <v>63</v>
      </c>
      <c r="C60" s="14" t="s">
        <v>51</v>
      </c>
      <c r="D60" s="25" t="s">
        <v>51</v>
      </c>
      <c r="E60" s="15">
        <v>36342</v>
      </c>
      <c r="F60" s="30">
        <v>7492.29</v>
      </c>
      <c r="G60" s="31">
        <v>7492.29</v>
      </c>
      <c r="H60" s="31">
        <v>599.38</v>
      </c>
      <c r="I60" s="52"/>
      <c r="J60" s="31">
        <v>8612.24</v>
      </c>
      <c r="K60" s="20">
        <f>8091.67-3851.09</f>
        <v>4240.58</v>
      </c>
      <c r="L60" s="20">
        <f>908.85+908.85+908.85</f>
        <v>2726.55</v>
      </c>
      <c r="M60" s="20">
        <f>1027.14+1027.14+1170.3</f>
        <v>3224.58</v>
      </c>
      <c r="N60" s="20">
        <f>1</f>
        <v>1</v>
      </c>
      <c r="O60" s="41">
        <f t="shared" si="2"/>
        <v>14992.359999999999</v>
      </c>
      <c r="P60" s="20">
        <f>942.4</f>
        <v>942.4</v>
      </c>
      <c r="Q60" s="20">
        <f>74.92</f>
        <v>74.92</v>
      </c>
      <c r="R60" s="29">
        <f t="shared" si="1"/>
        <v>15859.839999999998</v>
      </c>
    </row>
    <row r="61" spans="1:18" x14ac:dyDescent="0.25">
      <c r="A61" s="123" t="s">
        <v>101</v>
      </c>
      <c r="B61" s="75" t="s">
        <v>62</v>
      </c>
      <c r="C61" s="104" t="s">
        <v>102</v>
      </c>
      <c r="D61" s="75" t="s">
        <v>103</v>
      </c>
      <c r="E61" s="76">
        <v>45607</v>
      </c>
      <c r="F61" s="77">
        <v>3901.28</v>
      </c>
      <c r="G61" s="57">
        <v>3901.28</v>
      </c>
      <c r="H61" s="31"/>
      <c r="I61" s="78"/>
      <c r="J61" s="57"/>
      <c r="K61" s="33">
        <f>650.21-325.11</f>
        <v>325.10000000000002</v>
      </c>
      <c r="L61" s="33">
        <f>366.97+48.76</f>
        <v>415.73</v>
      </c>
      <c r="M61" s="33">
        <v>119.03</v>
      </c>
      <c r="N61" s="33">
        <f>1+97.53</f>
        <v>98.53</v>
      </c>
      <c r="O61" s="86">
        <f t="shared" si="2"/>
        <v>3593.0899999999997</v>
      </c>
      <c r="P61" s="33">
        <f>942.4+189</f>
        <v>1131.4000000000001</v>
      </c>
      <c r="Q61" s="33">
        <v>0</v>
      </c>
      <c r="R61" s="20">
        <f t="shared" ref="R61" si="3">O61+P61-Q61</f>
        <v>4724.49</v>
      </c>
    </row>
    <row r="62" spans="1:18" x14ac:dyDescent="0.25">
      <c r="A62" s="103"/>
      <c r="B62" s="35"/>
      <c r="C62" s="105"/>
      <c r="D62" s="35" t="s">
        <v>74</v>
      </c>
      <c r="E62" s="107"/>
      <c r="F62" s="107"/>
      <c r="G62" s="107"/>
      <c r="H62" s="106"/>
      <c r="I62" s="108"/>
      <c r="J62" s="109"/>
      <c r="K62" s="110"/>
      <c r="L62" s="110"/>
      <c r="M62" s="110"/>
      <c r="N62" s="110"/>
      <c r="O62" s="110"/>
      <c r="P62" s="110"/>
      <c r="Q62" s="110"/>
      <c r="R62" s="111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R63" s="12"/>
    </row>
    <row r="64" spans="1:18" x14ac:dyDescent="0.25">
      <c r="A64" s="4" t="s">
        <v>75</v>
      </c>
      <c r="B64" s="5"/>
      <c r="C64" s="5"/>
      <c r="D64" s="5"/>
      <c r="K64" s="1"/>
      <c r="R64" s="13"/>
    </row>
    <row r="65" spans="1:18" x14ac:dyDescent="0.25">
      <c r="A65" s="4" t="s">
        <v>76</v>
      </c>
      <c r="B65" s="5"/>
      <c r="C65" s="5"/>
      <c r="D65" s="5"/>
      <c r="P65" s="6"/>
    </row>
    <row r="66" spans="1:18" x14ac:dyDescent="0.25">
      <c r="A66" s="4" t="s">
        <v>77</v>
      </c>
      <c r="B66" s="5"/>
      <c r="C66" s="5"/>
      <c r="D66" s="5"/>
      <c r="R66" s="11"/>
    </row>
    <row r="67" spans="1:18" x14ac:dyDescent="0.25">
      <c r="A67" s="4"/>
      <c r="P67" s="6"/>
      <c r="Q67" s="6"/>
      <c r="R67" s="11"/>
    </row>
    <row r="68" spans="1:18" x14ac:dyDescent="0.25">
      <c r="P68" s="6"/>
      <c r="Q68" s="6"/>
      <c r="R68" s="11"/>
    </row>
    <row r="69" spans="1:18" x14ac:dyDescent="0.25">
      <c r="P69" s="6"/>
      <c r="Q69" s="6"/>
      <c r="R69" s="10"/>
    </row>
    <row r="70" spans="1:18" x14ac:dyDescent="0.25">
      <c r="P70" s="7"/>
      <c r="Q70" s="6"/>
      <c r="R70" s="10"/>
    </row>
    <row r="71" spans="1:18" x14ac:dyDescent="0.25">
      <c r="P71" s="6"/>
      <c r="Q71" s="6"/>
      <c r="R71" s="10"/>
    </row>
    <row r="72" spans="1:18" x14ac:dyDescent="0.25">
      <c r="P72" s="6"/>
      <c r="Q72" s="6"/>
      <c r="R72" s="1"/>
    </row>
    <row r="73" spans="1:18" x14ac:dyDescent="0.25">
      <c r="P73" s="6"/>
      <c r="Q73" s="6"/>
      <c r="R73" s="1"/>
    </row>
    <row r="74" spans="1:18" x14ac:dyDescent="0.25">
      <c r="P74" s="6"/>
      <c r="Q74" s="6"/>
      <c r="R74" s="1"/>
    </row>
    <row r="75" spans="1:18" x14ac:dyDescent="0.25">
      <c r="P75" s="6"/>
      <c r="Q75" s="6"/>
      <c r="R75" s="1"/>
    </row>
    <row r="76" spans="1:18" x14ac:dyDescent="0.25">
      <c r="P76" s="6"/>
      <c r="Q76" s="6"/>
      <c r="R76" s="1"/>
    </row>
    <row r="77" spans="1:18" x14ac:dyDescent="0.25">
      <c r="P77" s="6"/>
      <c r="Q77" s="6"/>
      <c r="R77" s="1"/>
    </row>
    <row r="78" spans="1:18" x14ac:dyDescent="0.25">
      <c r="O78" s="6"/>
      <c r="R78" s="11"/>
    </row>
    <row r="79" spans="1:18" x14ac:dyDescent="0.25">
      <c r="Q79" s="1"/>
      <c r="R79" s="11"/>
    </row>
    <row r="80" spans="1:18" x14ac:dyDescent="0.25">
      <c r="R80" s="11"/>
    </row>
    <row r="81" spans="18:20" x14ac:dyDescent="0.25">
      <c r="R81" s="11"/>
    </row>
    <row r="82" spans="18:20" x14ac:dyDescent="0.25">
      <c r="R82" s="11"/>
      <c r="T82" s="1"/>
    </row>
    <row r="83" spans="18:20" x14ac:dyDescent="0.25">
      <c r="R83" s="10"/>
    </row>
    <row r="84" spans="18:20" x14ac:dyDescent="0.25">
      <c r="R84" s="10"/>
    </row>
    <row r="85" spans="18:20" x14ac:dyDescent="0.25">
      <c r="R85" s="10"/>
    </row>
    <row r="86" spans="18:20" x14ac:dyDescent="0.25">
      <c r="R86" s="10"/>
    </row>
    <row r="87" spans="18:20" x14ac:dyDescent="0.25">
      <c r="R87" s="10"/>
    </row>
    <row r="88" spans="18:20" x14ac:dyDescent="0.25">
      <c r="R88" s="10"/>
    </row>
    <row r="90" spans="18:20" x14ac:dyDescent="0.25">
      <c r="R90" s="1"/>
    </row>
  </sheetData>
  <mergeCells count="18">
    <mergeCell ref="K58:K59"/>
    <mergeCell ref="H49:H50"/>
    <mergeCell ref="J49:J50"/>
    <mergeCell ref="K49:K50"/>
    <mergeCell ref="Q49:Q50"/>
    <mergeCell ref="J8:K8"/>
    <mergeCell ref="A7:R7"/>
    <mergeCell ref="H16:H17"/>
    <mergeCell ref="J16:J17"/>
    <mergeCell ref="K16:K17"/>
    <mergeCell ref="G8:H8"/>
    <mergeCell ref="L8:M8"/>
    <mergeCell ref="L16:L17"/>
    <mergeCell ref="Q39:Q40"/>
    <mergeCell ref="K27:K28"/>
    <mergeCell ref="H39:H40"/>
    <mergeCell ref="J39:J40"/>
    <mergeCell ref="K39:K40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2025-01-09T11:38:48Z</dcterms:modified>
</cp:coreProperties>
</file>