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Contabilidade.2025\Contabilidade Kléber\Folha de Pagamento\LAI\"/>
    </mc:Choice>
  </mc:AlternateContent>
  <xr:revisionPtr revIDLastSave="0" documentId="13_ncr:1_{D98C577C-6472-47B9-B4E0-711B52D6083F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Março-2025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6" i="55" l="1"/>
  <c r="L36" i="55"/>
  <c r="M33" i="55"/>
  <c r="L33" i="55"/>
  <c r="L26" i="55"/>
  <c r="M26" i="55"/>
  <c r="P26" i="55"/>
  <c r="M19" i="55"/>
  <c r="L19" i="55"/>
  <c r="P58" i="55" l="1"/>
  <c r="Q57" i="55"/>
  <c r="N57" i="55"/>
  <c r="Q55" i="55"/>
  <c r="H54" i="55"/>
  <c r="P53" i="55"/>
  <c r="N53" i="55"/>
  <c r="H53" i="55"/>
  <c r="Q52" i="55"/>
  <c r="N52" i="55"/>
  <c r="H52" i="55"/>
  <c r="Q51" i="55"/>
  <c r="P51" i="55"/>
  <c r="Q50" i="55"/>
  <c r="P50" i="55"/>
  <c r="Q49" i="55"/>
  <c r="Q48" i="55"/>
  <c r="Q46" i="55"/>
  <c r="H45" i="55"/>
  <c r="Q44" i="55"/>
  <c r="P44" i="55"/>
  <c r="P43" i="55"/>
  <c r="Q42" i="55"/>
  <c r="N42" i="55"/>
  <c r="P41" i="55"/>
  <c r="N35" i="55"/>
  <c r="Q34" i="55"/>
  <c r="Q33" i="55"/>
  <c r="N33" i="55"/>
  <c r="N31" i="55"/>
  <c r="Q31" i="55"/>
  <c r="P31" i="55"/>
  <c r="P30" i="55"/>
  <c r="Q29" i="55"/>
  <c r="Q28" i="55"/>
  <c r="N28" i="55"/>
  <c r="Q26" i="55"/>
  <c r="N26" i="55"/>
  <c r="H26" i="55"/>
  <c r="Q25" i="55"/>
  <c r="P25" i="55"/>
  <c r="Q22" i="55"/>
  <c r="P22" i="55"/>
  <c r="Q21" i="55"/>
  <c r="N21" i="55"/>
  <c r="P20" i="55"/>
  <c r="P19" i="55"/>
  <c r="G18" i="55"/>
  <c r="Q18" i="55"/>
  <c r="P18" i="55"/>
  <c r="N18" i="55"/>
  <c r="H18" i="55"/>
  <c r="G17" i="55"/>
  <c r="Q17" i="55"/>
  <c r="P17" i="55"/>
  <c r="N17" i="55"/>
  <c r="H17" i="55"/>
  <c r="N14" i="55"/>
  <c r="P14" i="55"/>
  <c r="P12" i="55"/>
  <c r="Q10" i="55"/>
  <c r="P10" i="55"/>
  <c r="H55" i="55" l="1"/>
  <c r="P48" i="55"/>
  <c r="N48" i="55"/>
  <c r="P49" i="55"/>
  <c r="N44" i="55"/>
  <c r="Q43" i="55"/>
  <c r="H30" i="55"/>
  <c r="Q30" i="55"/>
  <c r="P29" i="55"/>
  <c r="N29" i="55"/>
  <c r="H23" i="55"/>
  <c r="H21" i="55"/>
  <c r="Q20" i="55"/>
  <c r="N19" i="55"/>
  <c r="H19" i="55"/>
  <c r="N12" i="55"/>
  <c r="N10" i="55"/>
  <c r="H10" i="55"/>
  <c r="N55" i="55"/>
  <c r="N49" i="55"/>
  <c r="N46" i="55"/>
  <c r="N41" i="55"/>
  <c r="H41" i="55"/>
  <c r="H34" i="55"/>
  <c r="G22" i="55"/>
  <c r="N15" i="55"/>
  <c r="N58" i="55" l="1"/>
  <c r="O58" i="55" s="1"/>
  <c r="R58" i="55" s="1"/>
  <c r="N54" i="55"/>
  <c r="N50" i="55"/>
  <c r="H50" i="55"/>
  <c r="H42" i="55"/>
  <c r="N30" i="55"/>
  <c r="P57" i="55"/>
  <c r="Q54" i="55"/>
  <c r="N51" i="55"/>
  <c r="Q45" i="55"/>
  <c r="N45" i="55"/>
  <c r="N43" i="55"/>
  <c r="N38" i="55"/>
  <c r="P36" i="55"/>
  <c r="N25" i="55"/>
  <c r="N22" i="55"/>
  <c r="N20" i="55"/>
  <c r="H20" i="55"/>
  <c r="Q19" i="55"/>
  <c r="Q15" i="55"/>
  <c r="Q14" i="55"/>
  <c r="G12" i="55"/>
  <c r="O10" i="55"/>
  <c r="O56" i="55"/>
  <c r="O47" i="55"/>
  <c r="O39" i="55"/>
  <c r="O37" i="55"/>
  <c r="O32" i="55"/>
  <c r="O27" i="55"/>
  <c r="O24" i="55"/>
  <c r="O16" i="55"/>
  <c r="O13" i="55"/>
  <c r="O49" i="55" l="1"/>
  <c r="R56" i="55"/>
  <c r="R47" i="55"/>
  <c r="R39" i="55"/>
  <c r="R37" i="55"/>
  <c r="R32" i="55"/>
  <c r="R27" i="55"/>
  <c r="R24" i="55"/>
  <c r="R16" i="55"/>
  <c r="R13" i="55"/>
  <c r="O51" i="55"/>
  <c r="O43" i="55"/>
  <c r="O38" i="55"/>
  <c r="O31" i="55"/>
  <c r="O25" i="55"/>
  <c r="O55" i="55"/>
  <c r="O53" i="55"/>
  <c r="O44" i="55"/>
  <c r="O42" i="55"/>
  <c r="O41" i="55"/>
  <c r="H40" i="55"/>
  <c r="N36" i="55"/>
  <c r="P35" i="55"/>
  <c r="O35" i="55"/>
  <c r="P34" i="55"/>
  <c r="P33" i="55"/>
  <c r="O26" i="55"/>
  <c r="H22" i="55"/>
  <c r="O18" i="55"/>
  <c r="O17" i="55"/>
  <c r="O14" i="55"/>
  <c r="O12" i="55"/>
  <c r="O50" i="55" l="1"/>
  <c r="R50" i="55" s="1"/>
  <c r="O19" i="55"/>
  <c r="R19" i="55" s="1"/>
  <c r="O45" i="55"/>
  <c r="R45" i="55" s="1"/>
  <c r="O54" i="55"/>
  <c r="R54" i="55" s="1"/>
  <c r="O20" i="55"/>
  <c r="R20" i="55" s="1"/>
  <c r="O48" i="55"/>
  <c r="R48" i="55" s="1"/>
  <c r="O52" i="55"/>
  <c r="R52" i="55" s="1"/>
  <c r="O33" i="55"/>
  <c r="R33" i="55" s="1"/>
  <c r="O30" i="55"/>
  <c r="R30" i="55" s="1"/>
  <c r="O29" i="55"/>
  <c r="R29" i="55" s="1"/>
  <c r="O36" i="55"/>
  <c r="R36" i="55" s="1"/>
  <c r="O57" i="55"/>
  <c r="R57" i="55" s="1"/>
  <c r="O22" i="55"/>
  <c r="R22" i="55" s="1"/>
  <c r="R12" i="55"/>
  <c r="R42" i="55"/>
  <c r="R18" i="55"/>
  <c r="R26" i="55"/>
  <c r="R53" i="55"/>
  <c r="R55" i="55"/>
  <c r="R43" i="55"/>
  <c r="R51" i="55"/>
  <c r="R17" i="55"/>
  <c r="R44" i="55"/>
  <c r="R25" i="55"/>
  <c r="R31" i="55"/>
  <c r="R38" i="55"/>
  <c r="R14" i="55"/>
  <c r="R35" i="55"/>
  <c r="R41" i="55"/>
  <c r="R49" i="55"/>
  <c r="N23" i="55"/>
  <c r="O15" i="55"/>
  <c r="R15" i="55" s="1"/>
  <c r="O23" i="55" l="1"/>
  <c r="R23" i="55" s="1"/>
  <c r="O21" i="55" l="1"/>
  <c r="R21" i="55" s="1"/>
  <c r="O46" i="55" l="1"/>
  <c r="R46" i="55" s="1"/>
  <c r="O28" i="55" l="1"/>
  <c r="R28" i="55" s="1"/>
  <c r="N40" i="55"/>
  <c r="N34" i="55"/>
  <c r="O40" i="55" l="1"/>
  <c r="R40" i="55" s="1"/>
  <c r="O34" i="55"/>
  <c r="R34" i="55" s="1"/>
  <c r="R10" i="55"/>
</calcChain>
</file>

<file path=xl/sharedStrings.xml><?xml version="1.0" encoding="utf-8"?>
<sst xmlns="http://schemas.openxmlformats.org/spreadsheetml/2006/main" count="192" uniqueCount="103">
  <si>
    <t>NOME</t>
  </si>
  <si>
    <t>FÉRIAS</t>
  </si>
  <si>
    <t>INSS</t>
  </si>
  <si>
    <t>GRATIFICAÇÕES</t>
  </si>
  <si>
    <t>ALDEÍSE DE ASSIS COSTA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</si>
  <si>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</si>
  <si>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</si>
  <si>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</si>
  <si>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</si>
  <si>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</si>
  <si>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</si>
  <si>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</si>
  <si>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</si>
  <si>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</si>
  <si>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</si>
  <si>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</si>
  <si>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</si>
  <si>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</si>
  <si>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</si>
  <si>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</si>
  <si>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</si>
  <si>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</si>
  <si>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</si>
  <si>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</si>
  <si>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</si>
  <si>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</si>
  <si>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</si>
  <si>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</si>
  <si>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</si>
  <si>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</si>
  <si>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</si>
  <si>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</si>
  <si>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</si>
  <si>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</si>
  <si>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</si>
  <si>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</si>
  <si>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</si>
  <si>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</si>
  <si>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</si>
  <si>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</si>
  <si>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</si>
  <si>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</si>
  <si>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</si>
  <si>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</si>
  <si>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</si>
  <si>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</si>
  <si>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</si>
  <si>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</si>
  <si>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</si>
  <si>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</si>
  <si>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</si>
  <si>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</si>
  <si>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</si>
  <si>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</si>
  <si>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</si>
  <si>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</si>
  <si>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</si>
  <si>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</si>
  <si>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</si>
  <si>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</si>
  <si>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</si>
  <si>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</si>
  <si>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</si>
  <si>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</si>
  <si>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</si>
  <si>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</si>
  <si>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</si>
  <si>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</si>
  <si>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</si>
  <si>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</si>
  <si>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</si>
  <si>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</si>
  <si>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</si>
  <si>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</si>
  <si>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</si>
  <si>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</si>
  <si>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</si>
  <si>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</si>
  <si>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</si>
  <si>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</si>
  <si>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</si>
  <si>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</si>
  <si>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</si>
  <si>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</si>
  <si>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</si>
  <si>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</si>
  <si>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</si>
  <si>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</si>
  <si>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</si>
  <si>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</si>
  <si>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</si>
  <si>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</si>
  <si>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</si>
  <si>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</si>
  <si>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</si>
  <si>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</si>
  <si>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</si>
  <si>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</si>
  <si>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VIVIANE DA SILVA CARVALHO</t>
  </si>
  <si>
    <t>ENFERMEIRO</t>
  </si>
  <si>
    <t>COORDENADOR DA DIVISÃO DE PROCESSO ÉTICO</t>
  </si>
  <si>
    <t xml:space="preserve">13º SALÁRIO </t>
  </si>
  <si>
    <t>REMUNERAÇÃO REFERENTE À FOLHA DE PAGAMENTO DE MARÇO/2025 - CONSELHO REGIONAL DE ENFERMAGEM DO RIO GRANDE DO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</si>
</sst>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14" fontId="4" fillId="0" borderId="8" xfId="0" applyNumberFormat="1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43" fontId="5" fillId="0" borderId="11" xfId="1" applyFont="1" applyBorder="1"/>
    <xf numFmtId="43" fontId="5" fillId="0" borderId="12" xfId="1" applyFont="1" applyBorder="1" applyAlignment="1"/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/>
    <xf numFmtId="0" fontId="4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9" xfId="0" applyFont="1" applyBorder="1"/>
    <xf numFmtId="0" fontId="4" fillId="0" borderId="4" xfId="0" applyFont="1" applyBorder="1"/>
    <xf numFmtId="0" fontId="4" fillId="0" borderId="7" xfId="0" applyFont="1" applyBorder="1" applyAlignment="1">
      <alignment horizontal="left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87"/>
  <sheetViews>
    <sheetView tabSelected="1" topLeftCell="D1" workbookViewId="0">
      <selection activeCell="K14" sqref="K14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26" t="s">
        <v>102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</row>
    <row r="8" spans="1:18" x14ac:dyDescent="0.25">
      <c r="A8" s="3"/>
      <c r="B8" s="3"/>
      <c r="C8" s="3"/>
      <c r="D8" s="3"/>
      <c r="E8" s="3"/>
      <c r="F8" s="3"/>
      <c r="G8" s="125" t="s">
        <v>39</v>
      </c>
      <c r="H8" s="125"/>
      <c r="I8" s="3" t="s">
        <v>77</v>
      </c>
      <c r="J8" s="125" t="s">
        <v>41</v>
      </c>
      <c r="K8" s="125"/>
      <c r="L8" s="125" t="s">
        <v>42</v>
      </c>
      <c r="M8" s="125"/>
      <c r="N8" s="3" t="s">
        <v>67</v>
      </c>
      <c r="O8" s="3" t="s">
        <v>43</v>
      </c>
      <c r="P8" s="3" t="s">
        <v>44</v>
      </c>
      <c r="Q8" s="3" t="s">
        <v>45</v>
      </c>
      <c r="R8" s="3" t="s">
        <v>68</v>
      </c>
    </row>
    <row r="9" spans="1:18" x14ac:dyDescent="0.25">
      <c r="A9" s="9" t="s">
        <v>0</v>
      </c>
      <c r="B9" s="9" t="s">
        <v>70</v>
      </c>
      <c r="C9" s="9" t="s">
        <v>65</v>
      </c>
      <c r="D9" s="9" t="s">
        <v>46</v>
      </c>
      <c r="E9" s="9" t="s">
        <v>47</v>
      </c>
      <c r="F9" s="9" t="s">
        <v>40</v>
      </c>
      <c r="G9" s="9" t="s">
        <v>69</v>
      </c>
      <c r="H9" s="9" t="s">
        <v>3</v>
      </c>
      <c r="I9" s="9"/>
      <c r="J9" s="9" t="s">
        <v>1</v>
      </c>
      <c r="K9" s="9" t="s">
        <v>101</v>
      </c>
      <c r="L9" s="9" t="s">
        <v>2</v>
      </c>
      <c r="M9" s="9" t="s">
        <v>66</v>
      </c>
      <c r="N9" s="9"/>
      <c r="O9" s="9"/>
      <c r="P9" s="9"/>
      <c r="Q9" s="9"/>
      <c r="R9" s="9"/>
    </row>
    <row r="10" spans="1:18" s="8" customFormat="1" x14ac:dyDescent="0.25">
      <c r="A10" s="108" t="s">
        <v>4</v>
      </c>
      <c r="B10" s="14" t="s">
        <v>61</v>
      </c>
      <c r="C10" s="14" t="s">
        <v>48</v>
      </c>
      <c r="D10" s="14" t="s">
        <v>79</v>
      </c>
      <c r="E10" s="15">
        <v>41218</v>
      </c>
      <c r="F10" s="16">
        <v>3743.05</v>
      </c>
      <c r="G10" s="16">
        <v>3743.05</v>
      </c>
      <c r="H10" s="16">
        <f>224.58+187.15+299.44+3715.5</f>
        <v>4426.67</v>
      </c>
      <c r="I10" s="16"/>
      <c r="J10" s="16"/>
      <c r="K10" s="17"/>
      <c r="L10" s="17">
        <v>951.62</v>
      </c>
      <c r="M10" s="17">
        <v>1088.98</v>
      </c>
      <c r="N10" s="18">
        <f>1+93.58</f>
        <v>94.58</v>
      </c>
      <c r="O10" s="17">
        <f>G10+H10+I10+J10+K10-L10-M10-N10</f>
        <v>6034.5400000000009</v>
      </c>
      <c r="P10" s="19">
        <f>942.4+207.1</f>
        <v>1149.5</v>
      </c>
      <c r="Q10" s="18">
        <f>1298.34+175.23+272.32+37.43</f>
        <v>1783.32</v>
      </c>
      <c r="R10" s="20">
        <f>O10+P10-Q10</f>
        <v>5400.7200000000012</v>
      </c>
    </row>
    <row r="11" spans="1:18" s="8" customFormat="1" x14ac:dyDescent="0.25">
      <c r="A11" s="21"/>
      <c r="B11" s="21"/>
      <c r="C11" s="21"/>
      <c r="D11" s="21" t="s">
        <v>72</v>
      </c>
      <c r="E11" s="22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4"/>
    </row>
    <row r="12" spans="1:18" x14ac:dyDescent="0.25">
      <c r="A12" s="108" t="s">
        <v>95</v>
      </c>
      <c r="B12" s="14" t="s">
        <v>61</v>
      </c>
      <c r="C12" s="14" t="s">
        <v>97</v>
      </c>
      <c r="D12" s="14" t="s">
        <v>96</v>
      </c>
      <c r="E12" s="15">
        <v>45551</v>
      </c>
      <c r="F12" s="28">
        <v>2340.77</v>
      </c>
      <c r="G12" s="29">
        <f>2340.77</f>
        <v>2340.77</v>
      </c>
      <c r="H12" s="29"/>
      <c r="I12" s="30"/>
      <c r="J12" s="29"/>
      <c r="K12" s="20"/>
      <c r="L12" s="20">
        <v>187.89</v>
      </c>
      <c r="M12" s="20">
        <v>0</v>
      </c>
      <c r="N12" s="31">
        <f>1+58.52</f>
        <v>59.52</v>
      </c>
      <c r="O12" s="17">
        <f t="shared" ref="O12:O40" si="0">G12+H12+I12+J12+K12-L12-M12-N12</f>
        <v>2093.36</v>
      </c>
      <c r="P12" s="32">
        <f>942.4+186.2</f>
        <v>1128.5999999999999</v>
      </c>
      <c r="Q12" s="31"/>
      <c r="R12" s="20">
        <f t="shared" ref="R12:R57" si="1">O12+P12-Q12</f>
        <v>3221.96</v>
      </c>
    </row>
    <row r="13" spans="1:18" x14ac:dyDescent="0.25">
      <c r="A13" s="109"/>
      <c r="B13" s="21"/>
      <c r="C13" s="21"/>
      <c r="D13" s="33" t="s">
        <v>73</v>
      </c>
      <c r="E13" s="22"/>
      <c r="F13" s="34"/>
      <c r="G13" s="35"/>
      <c r="H13" s="35"/>
      <c r="I13" s="30"/>
      <c r="J13" s="35"/>
      <c r="K13" s="36"/>
      <c r="L13" s="36"/>
      <c r="M13" s="36"/>
      <c r="N13" s="37"/>
      <c r="O13" s="24">
        <f t="shared" si="0"/>
        <v>0</v>
      </c>
      <c r="P13" s="38"/>
      <c r="Q13" s="37"/>
      <c r="R13" s="36">
        <f t="shared" si="1"/>
        <v>0</v>
      </c>
    </row>
    <row r="14" spans="1:18" x14ac:dyDescent="0.25">
      <c r="A14" s="109" t="s">
        <v>5</v>
      </c>
      <c r="B14" s="21" t="s">
        <v>63</v>
      </c>
      <c r="C14" s="21" t="s">
        <v>49</v>
      </c>
      <c r="D14" s="14" t="s">
        <v>49</v>
      </c>
      <c r="E14" s="22">
        <v>41445</v>
      </c>
      <c r="F14" s="34">
        <v>2720.08</v>
      </c>
      <c r="G14" s="35">
        <v>2720.08</v>
      </c>
      <c r="H14" s="35"/>
      <c r="I14" s="35"/>
      <c r="J14" s="35"/>
      <c r="K14" s="36"/>
      <c r="L14" s="36">
        <v>222.03</v>
      </c>
      <c r="M14" s="36"/>
      <c r="N14" s="36">
        <f>1+68+125.64</f>
        <v>194.64</v>
      </c>
      <c r="O14" s="39">
        <f t="shared" si="0"/>
        <v>2303.41</v>
      </c>
      <c r="P14" s="36">
        <f>942.4+147</f>
        <v>1089.4000000000001</v>
      </c>
      <c r="Q14" s="36">
        <f>27.2</f>
        <v>27.2</v>
      </c>
      <c r="R14" s="27">
        <f t="shared" si="1"/>
        <v>3365.61</v>
      </c>
    </row>
    <row r="15" spans="1:18" x14ac:dyDescent="0.25">
      <c r="A15" s="110" t="s">
        <v>6</v>
      </c>
      <c r="B15" s="14" t="s">
        <v>61</v>
      </c>
      <c r="C15" s="14" t="s">
        <v>51</v>
      </c>
      <c r="D15" s="14" t="s">
        <v>91</v>
      </c>
      <c r="E15" s="15">
        <v>36087</v>
      </c>
      <c r="F15" s="40">
        <v>7431</v>
      </c>
      <c r="G15" s="40">
        <v>7431</v>
      </c>
      <c r="H15" s="123"/>
      <c r="I15" s="16"/>
      <c r="J15" s="123"/>
      <c r="K15" s="121"/>
      <c r="L15" s="121">
        <v>849.92</v>
      </c>
      <c r="M15" s="19">
        <v>913.8</v>
      </c>
      <c r="N15" s="41">
        <f>1</f>
        <v>1</v>
      </c>
      <c r="O15" s="17">
        <f t="shared" si="0"/>
        <v>5666.28</v>
      </c>
      <c r="P15" s="32">
        <v>942.4</v>
      </c>
      <c r="Q15" s="31">
        <f>74.31</f>
        <v>74.31</v>
      </c>
      <c r="R15" s="20">
        <f t="shared" si="1"/>
        <v>6534.369999999999</v>
      </c>
    </row>
    <row r="16" spans="1:18" x14ac:dyDescent="0.25">
      <c r="A16" s="42"/>
      <c r="B16" s="42"/>
      <c r="C16" s="42"/>
      <c r="D16" s="21" t="s">
        <v>72</v>
      </c>
      <c r="E16" s="43"/>
      <c r="F16" s="44"/>
      <c r="G16" s="44"/>
      <c r="H16" s="129"/>
      <c r="I16" s="23"/>
      <c r="J16" s="129"/>
      <c r="K16" s="130"/>
      <c r="L16" s="130"/>
      <c r="M16" s="45"/>
      <c r="N16" s="46"/>
      <c r="O16" s="24">
        <f t="shared" si="0"/>
        <v>0</v>
      </c>
      <c r="P16" s="38"/>
      <c r="Q16" s="37"/>
      <c r="R16" s="36">
        <f t="shared" si="1"/>
        <v>0</v>
      </c>
    </row>
    <row r="17" spans="1:18" x14ac:dyDescent="0.25">
      <c r="A17" s="111" t="s">
        <v>7</v>
      </c>
      <c r="B17" s="47" t="s">
        <v>61</v>
      </c>
      <c r="C17" s="47" t="s">
        <v>52</v>
      </c>
      <c r="D17" s="21" t="s">
        <v>52</v>
      </c>
      <c r="E17" s="48">
        <v>41218</v>
      </c>
      <c r="F17" s="49">
        <v>1996.2</v>
      </c>
      <c r="G17" s="50">
        <f>665.4+75.19</f>
        <v>740.58999999999992</v>
      </c>
      <c r="H17" s="50">
        <f>33.27+53.23</f>
        <v>86.5</v>
      </c>
      <c r="I17" s="50">
        <v>0</v>
      </c>
      <c r="J17" s="50"/>
      <c r="K17" s="51"/>
      <c r="L17" s="51">
        <v>67.67</v>
      </c>
      <c r="M17" s="51"/>
      <c r="N17" s="51">
        <f>1+16.63</f>
        <v>17.63</v>
      </c>
      <c r="O17" s="39">
        <f t="shared" si="0"/>
        <v>741.79</v>
      </c>
      <c r="P17" s="51">
        <f>942.4+176.4</f>
        <v>1118.8</v>
      </c>
      <c r="Q17" s="51">
        <f>19.96</f>
        <v>19.96</v>
      </c>
      <c r="R17" s="27">
        <f t="shared" si="1"/>
        <v>1840.6299999999999</v>
      </c>
    </row>
    <row r="18" spans="1:18" x14ac:dyDescent="0.25">
      <c r="A18" s="111" t="s">
        <v>8</v>
      </c>
      <c r="B18" s="47" t="s">
        <v>61</v>
      </c>
      <c r="C18" s="47" t="s">
        <v>52</v>
      </c>
      <c r="D18" s="47" t="s">
        <v>52</v>
      </c>
      <c r="E18" s="48">
        <v>41548</v>
      </c>
      <c r="F18" s="49">
        <v>1938.06</v>
      </c>
      <c r="G18" s="50">
        <f>969.03+668.42</f>
        <v>1637.4499999999998</v>
      </c>
      <c r="H18" s="50">
        <f>48.45+77.52</f>
        <v>125.97</v>
      </c>
      <c r="I18" s="50">
        <v>0</v>
      </c>
      <c r="J18" s="50"/>
      <c r="K18" s="51"/>
      <c r="L18" s="51">
        <v>221.83</v>
      </c>
      <c r="M18" s="51"/>
      <c r="N18" s="51">
        <f>1+24.23</f>
        <v>25.23</v>
      </c>
      <c r="O18" s="17">
        <f t="shared" si="0"/>
        <v>1516.36</v>
      </c>
      <c r="P18" s="51">
        <f>942.4+186.2</f>
        <v>1128.5999999999999</v>
      </c>
      <c r="Q18" s="51">
        <f>44.56+19.38</f>
        <v>63.94</v>
      </c>
      <c r="R18" s="20">
        <f t="shared" si="1"/>
        <v>2581.02</v>
      </c>
    </row>
    <row r="19" spans="1:18" x14ac:dyDescent="0.25">
      <c r="A19" s="111" t="s">
        <v>9</v>
      </c>
      <c r="B19" s="47" t="s">
        <v>61</v>
      </c>
      <c r="C19" s="47" t="s">
        <v>53</v>
      </c>
      <c r="D19" s="47" t="s">
        <v>53</v>
      </c>
      <c r="E19" s="48">
        <v>37865</v>
      </c>
      <c r="F19" s="49">
        <v>6549.45</v>
      </c>
      <c r="G19" s="50">
        <v>6549.45</v>
      </c>
      <c r="H19" s="50">
        <f>327.47+523.96</f>
        <v>851.43000000000006</v>
      </c>
      <c r="I19" s="50"/>
      <c r="J19" s="52">
        <v>3700.45</v>
      </c>
      <c r="K19" s="51"/>
      <c r="L19" s="51">
        <f>845.7+337.45</f>
        <v>1183.1500000000001</v>
      </c>
      <c r="M19" s="51">
        <f>906.67+88.91</f>
        <v>995.57999999999993</v>
      </c>
      <c r="N19" s="51">
        <f>1+163.74</f>
        <v>164.74</v>
      </c>
      <c r="O19" s="17">
        <f t="shared" si="0"/>
        <v>8757.86</v>
      </c>
      <c r="P19" s="51">
        <f>942.4+60.6</f>
        <v>1003</v>
      </c>
      <c r="Q19" s="51">
        <f>65.49</f>
        <v>65.489999999999995</v>
      </c>
      <c r="R19" s="20">
        <f t="shared" si="1"/>
        <v>9695.3700000000008</v>
      </c>
    </row>
    <row r="20" spans="1:18" x14ac:dyDescent="0.25">
      <c r="A20" s="111" t="s">
        <v>10</v>
      </c>
      <c r="B20" s="47" t="s">
        <v>61</v>
      </c>
      <c r="C20" s="47" t="s">
        <v>49</v>
      </c>
      <c r="D20" s="47" t="s">
        <v>80</v>
      </c>
      <c r="E20" s="48">
        <v>41218</v>
      </c>
      <c r="F20" s="49">
        <v>2801.68</v>
      </c>
      <c r="G20" s="50">
        <v>2801.68</v>
      </c>
      <c r="H20" s="50">
        <f>140.08+1336.85</f>
        <v>1476.9299999999998</v>
      </c>
      <c r="I20" s="50"/>
      <c r="J20" s="50"/>
      <c r="K20" s="51"/>
      <c r="L20" s="51">
        <v>408.58</v>
      </c>
      <c r="M20" s="51">
        <v>170.63</v>
      </c>
      <c r="N20" s="51">
        <f>1+70.04</f>
        <v>71.040000000000006</v>
      </c>
      <c r="O20" s="17">
        <f t="shared" si="0"/>
        <v>3628.3599999999997</v>
      </c>
      <c r="P20" s="51">
        <f>942.4+372.4</f>
        <v>1314.8</v>
      </c>
      <c r="Q20" s="51">
        <f>599+121.28+118+256.45+28.02</f>
        <v>1122.75</v>
      </c>
      <c r="R20" s="20">
        <f t="shared" si="1"/>
        <v>3820.41</v>
      </c>
    </row>
    <row r="21" spans="1:18" x14ac:dyDescent="0.25">
      <c r="A21" s="111" t="s">
        <v>11</v>
      </c>
      <c r="B21" s="47" t="s">
        <v>64</v>
      </c>
      <c r="C21" s="47" t="s">
        <v>50</v>
      </c>
      <c r="D21" s="47" t="s">
        <v>50</v>
      </c>
      <c r="E21" s="48">
        <v>38908</v>
      </c>
      <c r="F21" s="49">
        <v>6856.52</v>
      </c>
      <c r="G21" s="50">
        <v>6856.52</v>
      </c>
      <c r="H21" s="50">
        <f>342.83+548.52</f>
        <v>891.34999999999991</v>
      </c>
      <c r="I21" s="50"/>
      <c r="J21" s="50"/>
      <c r="K21" s="51"/>
      <c r="L21" s="51">
        <v>894.28</v>
      </c>
      <c r="M21" s="51">
        <v>936.6</v>
      </c>
      <c r="N21" s="53">
        <f>1+282.69</f>
        <v>283.69</v>
      </c>
      <c r="O21" s="17">
        <f t="shared" si="0"/>
        <v>5633.3000000000011</v>
      </c>
      <c r="P21" s="51">
        <v>942.4</v>
      </c>
      <c r="Q21" s="51">
        <f>295.12+460.21+49.74+258.26+68.57</f>
        <v>1131.8999999999999</v>
      </c>
      <c r="R21" s="20">
        <f t="shared" si="1"/>
        <v>5443.8000000000011</v>
      </c>
    </row>
    <row r="22" spans="1:18" x14ac:dyDescent="0.25">
      <c r="A22" s="108" t="s">
        <v>12</v>
      </c>
      <c r="B22" s="14" t="s">
        <v>61</v>
      </c>
      <c r="C22" s="14" t="s">
        <v>49</v>
      </c>
      <c r="D22" s="14" t="s">
        <v>49</v>
      </c>
      <c r="E22" s="15">
        <v>35916</v>
      </c>
      <c r="F22" s="28">
        <v>3655.55</v>
      </c>
      <c r="G22" s="29">
        <f>3655.55</f>
        <v>3655.55</v>
      </c>
      <c r="H22" s="29">
        <f>219.33+182.78+292.44</f>
        <v>694.55</v>
      </c>
      <c r="I22" s="29"/>
      <c r="J22" s="29"/>
      <c r="K22" s="20"/>
      <c r="L22" s="20">
        <v>418.59</v>
      </c>
      <c r="M22" s="20">
        <v>151.41</v>
      </c>
      <c r="N22" s="20">
        <f>1+91.39</f>
        <v>92.39</v>
      </c>
      <c r="O22" s="17">
        <f t="shared" si="0"/>
        <v>3687.7100000000005</v>
      </c>
      <c r="P22" s="20">
        <f>942.4+147</f>
        <v>1089.4000000000001</v>
      </c>
      <c r="Q22" s="20">
        <f>798.95+1172.07+121.59+36.56</f>
        <v>2129.17</v>
      </c>
      <c r="R22" s="20">
        <f t="shared" si="1"/>
        <v>2647.9400000000005</v>
      </c>
    </row>
    <row r="23" spans="1:18" x14ac:dyDescent="0.25">
      <c r="A23" s="108" t="s">
        <v>13</v>
      </c>
      <c r="B23" s="14" t="s">
        <v>61</v>
      </c>
      <c r="C23" s="14" t="s">
        <v>54</v>
      </c>
      <c r="D23" s="54" t="s">
        <v>81</v>
      </c>
      <c r="E23" s="15">
        <v>41737</v>
      </c>
      <c r="F23" s="28">
        <v>7885.99</v>
      </c>
      <c r="G23" s="29">
        <v>7885.99</v>
      </c>
      <c r="H23" s="55">
        <f>394.3+788.6+3901.27</f>
        <v>5084.17</v>
      </c>
      <c r="I23" s="56"/>
      <c r="J23" s="29"/>
      <c r="K23" s="20"/>
      <c r="L23" s="20">
        <v>951.62</v>
      </c>
      <c r="M23" s="20">
        <v>2304.8200000000002</v>
      </c>
      <c r="N23" s="31">
        <f>1</f>
        <v>1</v>
      </c>
      <c r="O23" s="17">
        <f t="shared" si="0"/>
        <v>9712.7199999999993</v>
      </c>
      <c r="P23" s="32">
        <v>942.4</v>
      </c>
      <c r="Q23" s="31">
        <v>2893.54</v>
      </c>
      <c r="R23" s="20">
        <f t="shared" si="1"/>
        <v>7761.579999999999</v>
      </c>
    </row>
    <row r="24" spans="1:18" x14ac:dyDescent="0.25">
      <c r="A24" s="109"/>
      <c r="B24" s="21"/>
      <c r="C24" s="21"/>
      <c r="D24" s="57" t="s">
        <v>72</v>
      </c>
      <c r="E24" s="22"/>
      <c r="F24" s="34"/>
      <c r="G24" s="35"/>
      <c r="H24" s="58"/>
      <c r="I24" s="59"/>
      <c r="J24" s="35"/>
      <c r="K24" s="36"/>
      <c r="L24" s="36"/>
      <c r="M24" s="36"/>
      <c r="N24" s="37"/>
      <c r="O24" s="24">
        <f t="shared" si="0"/>
        <v>0</v>
      </c>
      <c r="P24" s="38"/>
      <c r="Q24" s="37"/>
      <c r="R24" s="36">
        <f t="shared" si="1"/>
        <v>0</v>
      </c>
    </row>
    <row r="25" spans="1:18" x14ac:dyDescent="0.25">
      <c r="A25" s="112" t="s">
        <v>14</v>
      </c>
      <c r="B25" s="21" t="s">
        <v>61</v>
      </c>
      <c r="C25" s="60" t="s">
        <v>55</v>
      </c>
      <c r="D25" s="60" t="s">
        <v>82</v>
      </c>
      <c r="E25" s="61">
        <v>42559</v>
      </c>
      <c r="F25" s="62">
        <v>4757.29</v>
      </c>
      <c r="G25" s="63">
        <v>4757.29</v>
      </c>
      <c r="H25" s="63">
        <v>1336.85</v>
      </c>
      <c r="I25" s="63"/>
      <c r="J25" s="63"/>
      <c r="K25" s="36"/>
      <c r="L25" s="36">
        <v>662.76</v>
      </c>
      <c r="M25" s="36">
        <v>545.49</v>
      </c>
      <c r="N25" s="36">
        <f>1+118.93</f>
        <v>119.93</v>
      </c>
      <c r="O25" s="39">
        <f t="shared" si="0"/>
        <v>4765.9599999999991</v>
      </c>
      <c r="P25" s="36">
        <f>942.4+269.8</f>
        <v>1212.2</v>
      </c>
      <c r="Q25" s="36">
        <f>822+942.81+88.34+47.57</f>
        <v>1900.7199999999998</v>
      </c>
      <c r="R25" s="27">
        <f t="shared" si="1"/>
        <v>4077.4399999999991</v>
      </c>
    </row>
    <row r="26" spans="1:18" x14ac:dyDescent="0.25">
      <c r="A26" s="110" t="s">
        <v>15</v>
      </c>
      <c r="B26" s="14" t="s">
        <v>61</v>
      </c>
      <c r="C26" s="14" t="s">
        <v>56</v>
      </c>
      <c r="D26" s="14" t="s">
        <v>83</v>
      </c>
      <c r="E26" s="15">
        <v>36951</v>
      </c>
      <c r="F26" s="40">
        <v>4741.58</v>
      </c>
      <c r="G26" s="40">
        <v>4741.58</v>
      </c>
      <c r="H26" s="40">
        <f>284.49+3715.5</f>
        <v>3999.99</v>
      </c>
      <c r="I26" s="40"/>
      <c r="J26" s="29">
        <v>1942.57</v>
      </c>
      <c r="K26" s="121"/>
      <c r="L26" s="19">
        <f>951.62+152.06</f>
        <v>1103.68</v>
      </c>
      <c r="M26" s="19">
        <f>1246.24+6.74</f>
        <v>1252.98</v>
      </c>
      <c r="N26" s="31">
        <f>1+118.54+219.87</f>
        <v>339.41</v>
      </c>
      <c r="O26" s="17">
        <f t="shared" si="0"/>
        <v>7988.07</v>
      </c>
      <c r="P26" s="64">
        <f>942.4+145.6+3885.15</f>
        <v>4973.1499999999996</v>
      </c>
      <c r="Q26" s="31">
        <f>538.56+1086.43+149.27+47.42</f>
        <v>1821.68</v>
      </c>
      <c r="R26" s="20">
        <f t="shared" si="1"/>
        <v>11139.539999999999</v>
      </c>
    </row>
    <row r="27" spans="1:18" x14ac:dyDescent="0.25">
      <c r="A27" s="65"/>
      <c r="B27" s="65"/>
      <c r="C27" s="65"/>
      <c r="D27" s="21" t="s">
        <v>72</v>
      </c>
      <c r="E27" s="66"/>
      <c r="F27" s="67"/>
      <c r="G27" s="67"/>
      <c r="H27" s="67"/>
      <c r="I27" s="67"/>
      <c r="J27" s="26"/>
      <c r="K27" s="122"/>
      <c r="L27" s="68"/>
      <c r="M27" s="68"/>
      <c r="N27" s="69"/>
      <c r="O27" s="24">
        <f t="shared" si="0"/>
        <v>0</v>
      </c>
      <c r="P27" s="70"/>
      <c r="Q27" s="69"/>
      <c r="R27" s="27">
        <f t="shared" si="1"/>
        <v>0</v>
      </c>
    </row>
    <row r="28" spans="1:18" x14ac:dyDescent="0.25">
      <c r="A28" s="109" t="s">
        <v>16</v>
      </c>
      <c r="B28" s="21" t="s">
        <v>64</v>
      </c>
      <c r="C28" s="21" t="s">
        <v>49</v>
      </c>
      <c r="D28" s="21" t="s">
        <v>49</v>
      </c>
      <c r="E28" s="22">
        <v>35827</v>
      </c>
      <c r="F28" s="34">
        <v>3765.23</v>
      </c>
      <c r="G28" s="35">
        <v>3765.23</v>
      </c>
      <c r="H28" s="35"/>
      <c r="I28" s="35"/>
      <c r="J28" s="35"/>
      <c r="K28" s="36"/>
      <c r="L28" s="36">
        <v>345.23</v>
      </c>
      <c r="M28" s="36">
        <v>98.62</v>
      </c>
      <c r="N28" s="36">
        <f>1+125.64</f>
        <v>126.64</v>
      </c>
      <c r="O28" s="39">
        <f t="shared" si="0"/>
        <v>3194.7400000000002</v>
      </c>
      <c r="P28" s="36">
        <v>942.4</v>
      </c>
      <c r="Q28" s="36">
        <f>656.5+125.51+37.65</f>
        <v>819.66</v>
      </c>
      <c r="R28" s="27">
        <f t="shared" si="1"/>
        <v>3317.4800000000005</v>
      </c>
    </row>
    <row r="29" spans="1:18" x14ac:dyDescent="0.25">
      <c r="A29" s="111" t="s">
        <v>17</v>
      </c>
      <c r="B29" s="47" t="s">
        <v>61</v>
      </c>
      <c r="C29" s="47" t="s">
        <v>51</v>
      </c>
      <c r="D29" s="47" t="s">
        <v>51</v>
      </c>
      <c r="E29" s="48">
        <v>38831</v>
      </c>
      <c r="F29" s="49">
        <v>2995.63</v>
      </c>
      <c r="G29" s="50">
        <v>2995.63</v>
      </c>
      <c r="H29" s="50"/>
      <c r="I29" s="50"/>
      <c r="J29" s="50"/>
      <c r="K29" s="51"/>
      <c r="L29" s="51">
        <v>252.88</v>
      </c>
      <c r="M29" s="51">
        <v>12.87</v>
      </c>
      <c r="N29" s="51">
        <f>1+74.89</f>
        <v>75.89</v>
      </c>
      <c r="O29" s="17">
        <f t="shared" si="0"/>
        <v>2653.9900000000002</v>
      </c>
      <c r="P29" s="51">
        <f>942.4+176.4</f>
        <v>1118.8</v>
      </c>
      <c r="Q29" s="51">
        <f>701.52+99.85+29.96</f>
        <v>831.33</v>
      </c>
      <c r="R29" s="20">
        <f t="shared" si="1"/>
        <v>2941.46</v>
      </c>
    </row>
    <row r="30" spans="1:18" x14ac:dyDescent="0.25">
      <c r="A30" s="108" t="s">
        <v>18</v>
      </c>
      <c r="B30" s="14" t="s">
        <v>61</v>
      </c>
      <c r="C30" s="14" t="s">
        <v>54</v>
      </c>
      <c r="D30" s="14" t="s">
        <v>84</v>
      </c>
      <c r="E30" s="15">
        <v>41436</v>
      </c>
      <c r="F30" s="28">
        <v>5914.49</v>
      </c>
      <c r="G30" s="29">
        <v>5914.49</v>
      </c>
      <c r="H30" s="29">
        <f>295.72+473.16+2228.09</f>
        <v>2996.9700000000003</v>
      </c>
      <c r="I30" s="50"/>
      <c r="J30" s="29"/>
      <c r="K30" s="20"/>
      <c r="L30" s="20">
        <v>951.62</v>
      </c>
      <c r="M30" s="20">
        <v>1188.68</v>
      </c>
      <c r="N30" s="20">
        <f>1+147.86</f>
        <v>148.86000000000001</v>
      </c>
      <c r="O30" s="17">
        <f t="shared" si="0"/>
        <v>6622.2999999999993</v>
      </c>
      <c r="P30" s="20">
        <f>942.4+1406</f>
        <v>2348.4</v>
      </c>
      <c r="Q30" s="20">
        <f>780.87+59.14</f>
        <v>840.01</v>
      </c>
      <c r="R30" s="20">
        <f t="shared" si="1"/>
        <v>8130.6899999999987</v>
      </c>
    </row>
    <row r="31" spans="1:18" x14ac:dyDescent="0.25">
      <c r="A31" s="113" t="s">
        <v>92</v>
      </c>
      <c r="B31" s="71" t="s">
        <v>61</v>
      </c>
      <c r="C31" s="71" t="s">
        <v>93</v>
      </c>
      <c r="D31" s="71" t="s">
        <v>94</v>
      </c>
      <c r="E31" s="72">
        <v>45512</v>
      </c>
      <c r="F31" s="73">
        <v>3901.28</v>
      </c>
      <c r="G31" s="55">
        <v>3901.28</v>
      </c>
      <c r="H31" s="29"/>
      <c r="I31" s="74"/>
      <c r="J31" s="55"/>
      <c r="K31" s="20"/>
      <c r="L31" s="20">
        <v>361.55</v>
      </c>
      <c r="M31" s="20">
        <v>119.03</v>
      </c>
      <c r="N31" s="31">
        <f>1+97.53+157.05</f>
        <v>255.58</v>
      </c>
      <c r="O31" s="17">
        <f t="shared" si="0"/>
        <v>3165.12</v>
      </c>
      <c r="P31" s="32">
        <f>942.4+156.8</f>
        <v>1099.2</v>
      </c>
      <c r="Q31" s="31">
        <f>596.77+33.16</f>
        <v>629.92999999999995</v>
      </c>
      <c r="R31" s="20">
        <f t="shared" si="1"/>
        <v>3634.39</v>
      </c>
    </row>
    <row r="32" spans="1:18" x14ac:dyDescent="0.25">
      <c r="A32" s="114"/>
      <c r="B32" s="33"/>
      <c r="C32" s="33"/>
      <c r="D32" s="33" t="s">
        <v>73</v>
      </c>
      <c r="E32" s="75"/>
      <c r="F32" s="76"/>
      <c r="G32" s="58"/>
      <c r="H32" s="35"/>
      <c r="I32" s="74"/>
      <c r="J32" s="58"/>
      <c r="K32" s="36"/>
      <c r="L32" s="36"/>
      <c r="M32" s="36"/>
      <c r="N32" s="37"/>
      <c r="O32" s="24">
        <f t="shared" si="0"/>
        <v>0</v>
      </c>
      <c r="P32" s="38"/>
      <c r="Q32" s="37"/>
      <c r="R32" s="36">
        <f t="shared" si="1"/>
        <v>0</v>
      </c>
    </row>
    <row r="33" spans="1:18" x14ac:dyDescent="0.25">
      <c r="A33" s="109" t="s">
        <v>19</v>
      </c>
      <c r="B33" s="21" t="s">
        <v>64</v>
      </c>
      <c r="C33" s="21" t="s">
        <v>50</v>
      </c>
      <c r="D33" s="21" t="s">
        <v>50</v>
      </c>
      <c r="E33" s="22">
        <v>41708</v>
      </c>
      <c r="F33" s="34">
        <v>7885.99</v>
      </c>
      <c r="G33" s="35">
        <v>7885.99</v>
      </c>
      <c r="H33" s="35">
        <v>630.88</v>
      </c>
      <c r="I33" s="50"/>
      <c r="J33" s="35">
        <v>7097.4</v>
      </c>
      <c r="K33" s="36"/>
      <c r="L33" s="36">
        <f>951.62+803.21</f>
        <v>1754.83</v>
      </c>
      <c r="M33" s="36">
        <f>1080.17+730.63</f>
        <v>1810.8000000000002</v>
      </c>
      <c r="N33" s="36">
        <f>1+376.92</f>
        <v>377.92</v>
      </c>
      <c r="O33" s="39">
        <f t="shared" si="0"/>
        <v>11670.72</v>
      </c>
      <c r="P33" s="36">
        <f>942.4</f>
        <v>942.4</v>
      </c>
      <c r="Q33" s="36">
        <f>1523.06+407.79+283.9+78.86</f>
        <v>2293.61</v>
      </c>
      <c r="R33" s="27">
        <f t="shared" si="1"/>
        <v>10319.509999999998</v>
      </c>
    </row>
    <row r="34" spans="1:18" x14ac:dyDescent="0.25">
      <c r="A34" s="115" t="s">
        <v>20</v>
      </c>
      <c r="B34" s="47" t="s">
        <v>61</v>
      </c>
      <c r="C34" s="77" t="s">
        <v>57</v>
      </c>
      <c r="D34" s="77" t="s">
        <v>57</v>
      </c>
      <c r="E34" s="78">
        <v>41830</v>
      </c>
      <c r="F34" s="79">
        <v>7885.99</v>
      </c>
      <c r="G34" s="80">
        <v>7885.99</v>
      </c>
      <c r="H34" s="80">
        <f>394.3+630.88</f>
        <v>1025.18</v>
      </c>
      <c r="I34" s="80"/>
      <c r="J34" s="80"/>
      <c r="K34" s="51"/>
      <c r="L34" s="51">
        <v>951.62</v>
      </c>
      <c r="M34" s="51">
        <v>1136.46</v>
      </c>
      <c r="N34" s="51">
        <f>1</f>
        <v>1</v>
      </c>
      <c r="O34" s="17">
        <f t="shared" si="0"/>
        <v>6822.09</v>
      </c>
      <c r="P34" s="51">
        <f>942.4</f>
        <v>942.4</v>
      </c>
      <c r="Q34" s="51">
        <f>673.95+1516.06+92.79+78.86</f>
        <v>2361.6600000000003</v>
      </c>
      <c r="R34" s="20">
        <f t="shared" si="1"/>
        <v>5402.83</v>
      </c>
    </row>
    <row r="35" spans="1:18" x14ac:dyDescent="0.25">
      <c r="A35" s="111" t="s">
        <v>21</v>
      </c>
      <c r="B35" s="47" t="s">
        <v>63</v>
      </c>
      <c r="C35" s="47" t="s">
        <v>50</v>
      </c>
      <c r="D35" s="14" t="s">
        <v>50</v>
      </c>
      <c r="E35" s="48">
        <v>39022</v>
      </c>
      <c r="F35" s="49">
        <v>6656.52</v>
      </c>
      <c r="G35" s="50">
        <v>4113.91</v>
      </c>
      <c r="H35" s="50">
        <v>329.11</v>
      </c>
      <c r="I35" s="50"/>
      <c r="J35" s="50"/>
      <c r="K35" s="51"/>
      <c r="L35" s="51">
        <v>381.79</v>
      </c>
      <c r="M35" s="51">
        <v>170.87</v>
      </c>
      <c r="N35" s="51">
        <f>1+314.1</f>
        <v>315.10000000000002</v>
      </c>
      <c r="O35" s="17">
        <f t="shared" si="0"/>
        <v>3575.2599999999998</v>
      </c>
      <c r="P35" s="51">
        <f>942.4</f>
        <v>942.4</v>
      </c>
      <c r="Q35" s="51">
        <v>68.569999999999993</v>
      </c>
      <c r="R35" s="20">
        <f t="shared" si="1"/>
        <v>4449.09</v>
      </c>
    </row>
    <row r="36" spans="1:18" x14ac:dyDescent="0.25">
      <c r="A36" s="110" t="s">
        <v>22</v>
      </c>
      <c r="B36" s="14" t="s">
        <v>61</v>
      </c>
      <c r="C36" s="71" t="s">
        <v>71</v>
      </c>
      <c r="D36" s="14" t="s">
        <v>85</v>
      </c>
      <c r="E36" s="81">
        <v>44565</v>
      </c>
      <c r="F36" s="40">
        <v>7802.54</v>
      </c>
      <c r="G36" s="40">
        <v>7802.54</v>
      </c>
      <c r="H36" s="123"/>
      <c r="I36" s="16"/>
      <c r="J36" s="123">
        <v>6242.04</v>
      </c>
      <c r="K36" s="121"/>
      <c r="L36" s="19">
        <f>901.93+683.46</f>
        <v>1585.3899999999999</v>
      </c>
      <c r="M36" s="19">
        <f>1001.67+632.61</f>
        <v>1634.28</v>
      </c>
      <c r="N36" s="41">
        <f>1</f>
        <v>1</v>
      </c>
      <c r="O36" s="17">
        <f t="shared" si="0"/>
        <v>10823.91</v>
      </c>
      <c r="P36" s="32">
        <f>942.4</f>
        <v>942.4</v>
      </c>
      <c r="Q36" s="119"/>
      <c r="R36" s="20">
        <f t="shared" si="1"/>
        <v>11766.31</v>
      </c>
    </row>
    <row r="37" spans="1:18" x14ac:dyDescent="0.25">
      <c r="A37" s="65"/>
      <c r="B37" s="65"/>
      <c r="C37" s="83"/>
      <c r="D37" s="25" t="s">
        <v>73</v>
      </c>
      <c r="E37" s="84"/>
      <c r="F37" s="67"/>
      <c r="G37" s="67"/>
      <c r="H37" s="124"/>
      <c r="I37" s="85"/>
      <c r="J37" s="124"/>
      <c r="K37" s="122"/>
      <c r="L37" s="68"/>
      <c r="M37" s="68"/>
      <c r="N37" s="86"/>
      <c r="O37" s="24">
        <f t="shared" si="0"/>
        <v>0</v>
      </c>
      <c r="P37" s="87"/>
      <c r="Q37" s="120"/>
      <c r="R37" s="27">
        <f t="shared" si="1"/>
        <v>0</v>
      </c>
    </row>
    <row r="38" spans="1:18" x14ac:dyDescent="0.25">
      <c r="A38" s="116" t="s">
        <v>78</v>
      </c>
      <c r="B38" s="14" t="s">
        <v>61</v>
      </c>
      <c r="C38" s="88" t="s">
        <v>57</v>
      </c>
      <c r="D38" s="54" t="s">
        <v>86</v>
      </c>
      <c r="E38" s="72">
        <v>45475</v>
      </c>
      <c r="F38" s="89">
        <v>7802.54</v>
      </c>
      <c r="G38" s="40">
        <v>7802.54</v>
      </c>
      <c r="H38" s="16"/>
      <c r="I38" s="90"/>
      <c r="J38" s="91"/>
      <c r="K38" s="17"/>
      <c r="L38" s="19">
        <v>901.93</v>
      </c>
      <c r="M38" s="19">
        <v>1001.67</v>
      </c>
      <c r="N38" s="41">
        <f>1</f>
        <v>1</v>
      </c>
      <c r="O38" s="39">
        <f t="shared" si="0"/>
        <v>5897.94</v>
      </c>
      <c r="P38" s="32">
        <v>942.4</v>
      </c>
      <c r="Q38" s="92"/>
      <c r="R38" s="20">
        <f t="shared" si="1"/>
        <v>6840.3399999999992</v>
      </c>
    </row>
    <row r="39" spans="1:18" x14ac:dyDescent="0.25">
      <c r="A39" s="117"/>
      <c r="B39" s="21"/>
      <c r="C39" s="60"/>
      <c r="D39" s="57" t="s">
        <v>73</v>
      </c>
      <c r="E39" s="75"/>
      <c r="F39" s="93"/>
      <c r="G39" s="44"/>
      <c r="H39" s="23"/>
      <c r="I39" s="94"/>
      <c r="J39" s="95"/>
      <c r="K39" s="24"/>
      <c r="L39" s="45"/>
      <c r="M39" s="45"/>
      <c r="N39" s="46"/>
      <c r="O39" s="17">
        <f t="shared" si="0"/>
        <v>0</v>
      </c>
      <c r="P39" s="38"/>
      <c r="Q39" s="96"/>
      <c r="R39" s="36">
        <f t="shared" si="1"/>
        <v>0</v>
      </c>
    </row>
    <row r="40" spans="1:18" x14ac:dyDescent="0.25">
      <c r="A40" s="109" t="s">
        <v>23</v>
      </c>
      <c r="B40" s="21" t="s">
        <v>61</v>
      </c>
      <c r="C40" s="60" t="s">
        <v>57</v>
      </c>
      <c r="D40" s="60" t="s">
        <v>57</v>
      </c>
      <c r="E40" s="22">
        <v>41730</v>
      </c>
      <c r="F40" s="34">
        <v>7885.99</v>
      </c>
      <c r="G40" s="35">
        <v>7885.99</v>
      </c>
      <c r="H40" s="35">
        <f>394.3+630.88</f>
        <v>1025.18</v>
      </c>
      <c r="I40" s="35"/>
      <c r="J40" s="35"/>
      <c r="K40" s="36"/>
      <c r="L40" s="36">
        <v>951.62</v>
      </c>
      <c r="M40" s="36">
        <v>1292.8800000000001</v>
      </c>
      <c r="N40" s="36">
        <f>1</f>
        <v>1</v>
      </c>
      <c r="O40" s="17">
        <f t="shared" si="0"/>
        <v>6665.67</v>
      </c>
      <c r="P40" s="36">
        <v>942.4</v>
      </c>
      <c r="Q40" s="36">
        <v>1003.3</v>
      </c>
      <c r="R40" s="27">
        <f t="shared" si="1"/>
        <v>6604.7699999999995</v>
      </c>
    </row>
    <row r="41" spans="1:18" x14ac:dyDescent="0.25">
      <c r="A41" s="111" t="s">
        <v>24</v>
      </c>
      <c r="B41" s="47" t="s">
        <v>61</v>
      </c>
      <c r="C41" s="47" t="s">
        <v>49</v>
      </c>
      <c r="D41" s="47" t="s">
        <v>49</v>
      </c>
      <c r="E41" s="48">
        <v>41823</v>
      </c>
      <c r="F41" s="49">
        <v>2720.08</v>
      </c>
      <c r="G41" s="50">
        <v>2720.08</v>
      </c>
      <c r="H41" s="50">
        <f>136+217.61</f>
        <v>353.61</v>
      </c>
      <c r="I41" s="50"/>
      <c r="J41" s="50"/>
      <c r="K41" s="51"/>
      <c r="L41" s="51">
        <v>262.24</v>
      </c>
      <c r="M41" s="51">
        <v>18.73</v>
      </c>
      <c r="N41" s="51">
        <f>1+68</f>
        <v>69</v>
      </c>
      <c r="O41" s="17">
        <f t="shared" ref="O41:O58" si="2">G41+H41+I41+J41+K41-L41-M41-N41</f>
        <v>2723.72</v>
      </c>
      <c r="P41" s="51">
        <f>942.4+207.1</f>
        <v>1149.5</v>
      </c>
      <c r="Q41" s="51">
        <v>27.2</v>
      </c>
      <c r="R41" s="20">
        <f t="shared" si="1"/>
        <v>3846.02</v>
      </c>
    </row>
    <row r="42" spans="1:18" x14ac:dyDescent="0.25">
      <c r="A42" s="111" t="s">
        <v>25</v>
      </c>
      <c r="B42" s="47" t="s">
        <v>61</v>
      </c>
      <c r="C42" s="47" t="s">
        <v>50</v>
      </c>
      <c r="D42" s="47" t="s">
        <v>87</v>
      </c>
      <c r="E42" s="48">
        <v>39295</v>
      </c>
      <c r="F42" s="49">
        <v>8875.44</v>
      </c>
      <c r="G42" s="50">
        <v>8875.44</v>
      </c>
      <c r="H42" s="50">
        <f>443.77+1336.85+710.04</f>
        <v>2490.66</v>
      </c>
      <c r="I42" s="50"/>
      <c r="J42" s="50"/>
      <c r="K42" s="51"/>
      <c r="L42" s="51">
        <v>951.62</v>
      </c>
      <c r="M42" s="51">
        <v>1915.84</v>
      </c>
      <c r="N42" s="51">
        <f>1+31.41</f>
        <v>32.409999999999997</v>
      </c>
      <c r="O42" s="17">
        <f t="shared" si="2"/>
        <v>8466.23</v>
      </c>
      <c r="P42" s="51">
        <v>942.4</v>
      </c>
      <c r="Q42" s="51">
        <f>1793.5+413.5+619.74+146.61+378.87+88.75</f>
        <v>3440.97</v>
      </c>
      <c r="R42" s="20">
        <f t="shared" si="1"/>
        <v>5967.66</v>
      </c>
    </row>
    <row r="43" spans="1:18" x14ac:dyDescent="0.25">
      <c r="A43" s="111" t="s">
        <v>26</v>
      </c>
      <c r="B43" s="47" t="s">
        <v>61</v>
      </c>
      <c r="C43" s="47" t="s">
        <v>58</v>
      </c>
      <c r="D43" s="47" t="s">
        <v>58</v>
      </c>
      <c r="E43" s="48">
        <v>35309</v>
      </c>
      <c r="F43" s="49">
        <v>2697.31</v>
      </c>
      <c r="G43" s="50">
        <v>2697.31</v>
      </c>
      <c r="H43" s="50"/>
      <c r="I43" s="50"/>
      <c r="J43" s="50"/>
      <c r="K43" s="51"/>
      <c r="L43" s="51">
        <v>219.98</v>
      </c>
      <c r="M43" s="51">
        <v>0</v>
      </c>
      <c r="N43" s="51">
        <f>1+67.43</f>
        <v>68.430000000000007</v>
      </c>
      <c r="O43" s="17">
        <f t="shared" si="2"/>
        <v>2408.9</v>
      </c>
      <c r="P43" s="51">
        <f>942.4+381.9</f>
        <v>1324.3</v>
      </c>
      <c r="Q43" s="51">
        <f>378+236+26.97</f>
        <v>640.97</v>
      </c>
      <c r="R43" s="20">
        <f t="shared" si="1"/>
        <v>3092.2299999999996</v>
      </c>
    </row>
    <row r="44" spans="1:18" x14ac:dyDescent="0.25">
      <c r="A44" s="111" t="s">
        <v>27</v>
      </c>
      <c r="B44" s="47" t="s">
        <v>61</v>
      </c>
      <c r="C44" s="47" t="s">
        <v>49</v>
      </c>
      <c r="D44" s="47" t="s">
        <v>88</v>
      </c>
      <c r="E44" s="48">
        <v>35829</v>
      </c>
      <c r="F44" s="49">
        <v>3765.23</v>
      </c>
      <c r="G44" s="50">
        <v>3765.23</v>
      </c>
      <c r="H44" s="50">
        <v>1336.85</v>
      </c>
      <c r="I44" s="50"/>
      <c r="J44" s="50"/>
      <c r="K44" s="51"/>
      <c r="L44" s="51">
        <v>523.87</v>
      </c>
      <c r="M44" s="51">
        <v>358.12</v>
      </c>
      <c r="N44" s="51">
        <f>1+94.13</f>
        <v>95.13</v>
      </c>
      <c r="O44" s="17">
        <f t="shared" si="2"/>
        <v>4124.96</v>
      </c>
      <c r="P44" s="51">
        <f>942.4+156.8</f>
        <v>1099.2</v>
      </c>
      <c r="Q44" s="51">
        <f>661.39+137.6+407+720.51+122+37.65</f>
        <v>2086.15</v>
      </c>
      <c r="R44" s="20">
        <f t="shared" si="1"/>
        <v>3138.0099999999998</v>
      </c>
    </row>
    <row r="45" spans="1:18" x14ac:dyDescent="0.25">
      <c r="A45" s="111" t="s">
        <v>28</v>
      </c>
      <c r="B45" s="47" t="s">
        <v>61</v>
      </c>
      <c r="C45" s="47" t="s">
        <v>50</v>
      </c>
      <c r="D45" s="14" t="s">
        <v>50</v>
      </c>
      <c r="E45" s="48">
        <v>41505</v>
      </c>
      <c r="F45" s="49">
        <v>5914.49</v>
      </c>
      <c r="G45" s="50">
        <v>5914.49</v>
      </c>
      <c r="H45" s="50">
        <f>295.72+473.16</f>
        <v>768.88000000000011</v>
      </c>
      <c r="I45" s="50"/>
      <c r="J45" s="50"/>
      <c r="K45" s="51"/>
      <c r="L45" s="51">
        <v>745.25</v>
      </c>
      <c r="M45" s="51">
        <v>684.85</v>
      </c>
      <c r="N45" s="51">
        <f>1</f>
        <v>1</v>
      </c>
      <c r="O45" s="17">
        <f t="shared" si="2"/>
        <v>5252.2699999999995</v>
      </c>
      <c r="P45" s="51">
        <v>942.4</v>
      </c>
      <c r="Q45" s="51">
        <f>59.14</f>
        <v>59.14</v>
      </c>
      <c r="R45" s="20">
        <f t="shared" si="1"/>
        <v>6135.5299999999988</v>
      </c>
    </row>
    <row r="46" spans="1:18" x14ac:dyDescent="0.25">
      <c r="A46" s="110" t="s">
        <v>29</v>
      </c>
      <c r="B46" s="14" t="s">
        <v>61</v>
      </c>
      <c r="C46" s="71" t="s">
        <v>59</v>
      </c>
      <c r="D46" s="14" t="s">
        <v>89</v>
      </c>
      <c r="E46" s="15">
        <v>44201</v>
      </c>
      <c r="F46" s="40">
        <v>7431</v>
      </c>
      <c r="G46" s="40">
        <v>7431</v>
      </c>
      <c r="H46" s="123"/>
      <c r="I46" s="16"/>
      <c r="J46" s="123"/>
      <c r="K46" s="121"/>
      <c r="L46" s="19">
        <v>849.92</v>
      </c>
      <c r="M46" s="19">
        <v>861.66</v>
      </c>
      <c r="N46" s="41">
        <f>1</f>
        <v>1</v>
      </c>
      <c r="O46" s="17">
        <f t="shared" si="2"/>
        <v>5718.42</v>
      </c>
      <c r="P46" s="32">
        <v>942.4</v>
      </c>
      <c r="Q46" s="131">
        <f>395.81+36.65</f>
        <v>432.46</v>
      </c>
      <c r="R46" s="20">
        <f t="shared" si="1"/>
        <v>6228.36</v>
      </c>
    </row>
    <row r="47" spans="1:18" x14ac:dyDescent="0.25">
      <c r="A47" s="42"/>
      <c r="B47" s="42"/>
      <c r="C47" s="97"/>
      <c r="D47" s="25" t="s">
        <v>73</v>
      </c>
      <c r="E47" s="43"/>
      <c r="F47" s="44"/>
      <c r="G47" s="44"/>
      <c r="H47" s="129"/>
      <c r="I47" s="23"/>
      <c r="J47" s="129"/>
      <c r="K47" s="130"/>
      <c r="L47" s="45"/>
      <c r="M47" s="45"/>
      <c r="N47" s="46"/>
      <c r="O47" s="24">
        <f t="shared" si="2"/>
        <v>0</v>
      </c>
      <c r="P47" s="38"/>
      <c r="Q47" s="132"/>
      <c r="R47" s="36">
        <f t="shared" si="1"/>
        <v>0</v>
      </c>
    </row>
    <row r="48" spans="1:18" x14ac:dyDescent="0.25">
      <c r="A48" s="111" t="s">
        <v>30</v>
      </c>
      <c r="B48" s="47" t="s">
        <v>61</v>
      </c>
      <c r="C48" s="47" t="s">
        <v>49</v>
      </c>
      <c r="D48" s="47" t="s">
        <v>49</v>
      </c>
      <c r="E48" s="48">
        <v>33581</v>
      </c>
      <c r="F48" s="49">
        <v>3765.23</v>
      </c>
      <c r="G48" s="50">
        <v>3765.23</v>
      </c>
      <c r="H48" s="50"/>
      <c r="I48" s="50"/>
      <c r="J48" s="50"/>
      <c r="K48" s="51"/>
      <c r="L48" s="51">
        <v>345.23</v>
      </c>
      <c r="M48" s="51">
        <v>98.62</v>
      </c>
      <c r="N48" s="51">
        <f>1+94.13</f>
        <v>95.13</v>
      </c>
      <c r="O48" s="39">
        <f t="shared" si="2"/>
        <v>3226.25</v>
      </c>
      <c r="P48" s="51">
        <f>942.4+176.4</f>
        <v>1118.8</v>
      </c>
      <c r="Q48" s="51">
        <f>701.52+57.18+37.65</f>
        <v>796.34999999999991</v>
      </c>
      <c r="R48" s="27">
        <f t="shared" si="1"/>
        <v>3548.7000000000003</v>
      </c>
    </row>
    <row r="49" spans="1:18" x14ac:dyDescent="0.25">
      <c r="A49" s="111" t="s">
        <v>31</v>
      </c>
      <c r="B49" s="47" t="s">
        <v>61</v>
      </c>
      <c r="C49" s="47" t="s">
        <v>49</v>
      </c>
      <c r="D49" s="47" t="s">
        <v>60</v>
      </c>
      <c r="E49" s="48">
        <v>35339</v>
      </c>
      <c r="F49" s="49">
        <v>3765.23</v>
      </c>
      <c r="G49" s="50">
        <v>3765.23</v>
      </c>
      <c r="H49" s="50">
        <v>1336.85</v>
      </c>
      <c r="I49" s="50"/>
      <c r="J49" s="50"/>
      <c r="K49" s="51"/>
      <c r="L49" s="51">
        <v>523.87</v>
      </c>
      <c r="M49" s="51">
        <v>358.12</v>
      </c>
      <c r="N49" s="51">
        <f>1+94.13</f>
        <v>95.13</v>
      </c>
      <c r="O49" s="17">
        <f t="shared" si="2"/>
        <v>4124.96</v>
      </c>
      <c r="P49" s="51">
        <f>942.4+174.6</f>
        <v>1117</v>
      </c>
      <c r="Q49" s="51">
        <f>875.99+141.99+195+16.8+170.07+37.65</f>
        <v>1437.5</v>
      </c>
      <c r="R49" s="20">
        <f t="shared" si="1"/>
        <v>3804.46</v>
      </c>
    </row>
    <row r="50" spans="1:18" x14ac:dyDescent="0.25">
      <c r="A50" s="111" t="s">
        <v>32</v>
      </c>
      <c r="B50" s="47" t="s">
        <v>61</v>
      </c>
      <c r="C50" s="47" t="s">
        <v>49</v>
      </c>
      <c r="D50" s="47" t="s">
        <v>49</v>
      </c>
      <c r="E50" s="48">
        <v>31761</v>
      </c>
      <c r="F50" s="49">
        <v>4627.83</v>
      </c>
      <c r="G50" s="50">
        <v>4627.83</v>
      </c>
      <c r="H50" s="50">
        <f>231.39+277.67</f>
        <v>509.06</v>
      </c>
      <c r="I50" s="50"/>
      <c r="J50" s="50"/>
      <c r="K50" s="51"/>
      <c r="L50" s="51">
        <v>528.74</v>
      </c>
      <c r="M50" s="51">
        <v>331.41</v>
      </c>
      <c r="N50" s="51">
        <f>1+115.7</f>
        <v>116.7</v>
      </c>
      <c r="O50" s="17">
        <f t="shared" si="2"/>
        <v>4160.0400000000009</v>
      </c>
      <c r="P50" s="51">
        <f>942.4+186.2</f>
        <v>1128.5999999999999</v>
      </c>
      <c r="Q50" s="51">
        <f>346.36+175.78+67.2+171.23+46.28</f>
        <v>806.85</v>
      </c>
      <c r="R50" s="20">
        <f t="shared" si="1"/>
        <v>4481.7900000000009</v>
      </c>
    </row>
    <row r="51" spans="1:18" x14ac:dyDescent="0.25">
      <c r="A51" s="111" t="s">
        <v>33</v>
      </c>
      <c r="B51" s="47" t="s">
        <v>61</v>
      </c>
      <c r="C51" s="47" t="s">
        <v>49</v>
      </c>
      <c r="D51" s="47" t="s">
        <v>49</v>
      </c>
      <c r="E51" s="48">
        <v>41218</v>
      </c>
      <c r="F51" s="49">
        <v>2801.68</v>
      </c>
      <c r="G51" s="50">
        <v>2801.68</v>
      </c>
      <c r="H51" s="50"/>
      <c r="I51" s="50"/>
      <c r="J51" s="50"/>
      <c r="K51" s="51"/>
      <c r="L51" s="51">
        <v>229.6</v>
      </c>
      <c r="M51" s="51">
        <v>0</v>
      </c>
      <c r="N51" s="51">
        <f>1+70.04</f>
        <v>71.040000000000006</v>
      </c>
      <c r="O51" s="17">
        <f t="shared" si="2"/>
        <v>2501.04</v>
      </c>
      <c r="P51" s="51">
        <f>942.4+186.2</f>
        <v>1128.5999999999999</v>
      </c>
      <c r="Q51" s="51">
        <f>395.81+93.39+28.02</f>
        <v>517.22</v>
      </c>
      <c r="R51" s="20">
        <f t="shared" si="1"/>
        <v>3112.42</v>
      </c>
    </row>
    <row r="52" spans="1:18" x14ac:dyDescent="0.25">
      <c r="A52" s="111" t="s">
        <v>34</v>
      </c>
      <c r="B52" s="47" t="s">
        <v>61</v>
      </c>
      <c r="C52" s="47" t="s">
        <v>50</v>
      </c>
      <c r="D52" s="47" t="s">
        <v>50</v>
      </c>
      <c r="E52" s="48">
        <v>42982</v>
      </c>
      <c r="F52" s="49">
        <v>7433.36</v>
      </c>
      <c r="G52" s="50">
        <v>7433.36</v>
      </c>
      <c r="H52" s="50">
        <f>371.67+594.67</f>
        <v>966.33999999999992</v>
      </c>
      <c r="I52" s="50"/>
      <c r="J52" s="50"/>
      <c r="K52" s="51"/>
      <c r="L52" s="51">
        <v>951.62</v>
      </c>
      <c r="M52" s="51">
        <v>1152.22</v>
      </c>
      <c r="N52" s="51">
        <f>1+62.82</f>
        <v>63.82</v>
      </c>
      <c r="O52" s="17">
        <f t="shared" si="2"/>
        <v>6232.0399999999991</v>
      </c>
      <c r="P52" s="51">
        <v>942.4</v>
      </c>
      <c r="Q52" s="51">
        <f>74.33</f>
        <v>74.33</v>
      </c>
      <c r="R52" s="20">
        <f t="shared" si="1"/>
        <v>7100.1099999999988</v>
      </c>
    </row>
    <row r="53" spans="1:18" x14ac:dyDescent="0.25">
      <c r="A53" s="111" t="s">
        <v>35</v>
      </c>
      <c r="B53" s="47" t="s">
        <v>61</v>
      </c>
      <c r="C53" s="47" t="s">
        <v>53</v>
      </c>
      <c r="D53" s="47" t="s">
        <v>53</v>
      </c>
      <c r="E53" s="48">
        <v>41823</v>
      </c>
      <c r="F53" s="49">
        <v>4731.59</v>
      </c>
      <c r="G53" s="50">
        <v>2365.8000000000002</v>
      </c>
      <c r="H53" s="50">
        <f>118.29+189.26</f>
        <v>307.55</v>
      </c>
      <c r="I53" s="50"/>
      <c r="J53" s="50"/>
      <c r="K53" s="51"/>
      <c r="L53" s="51">
        <v>340.29</v>
      </c>
      <c r="M53" s="51">
        <v>0</v>
      </c>
      <c r="N53" s="51">
        <f>1+59.15</f>
        <v>60.15</v>
      </c>
      <c r="O53" s="17">
        <f t="shared" si="2"/>
        <v>2272.9100000000003</v>
      </c>
      <c r="P53" s="51">
        <f>942.4+186.2</f>
        <v>1128.5999999999999</v>
      </c>
      <c r="Q53" s="51">
        <v>47.32</v>
      </c>
      <c r="R53" s="20">
        <f t="shared" si="1"/>
        <v>3354.19</v>
      </c>
    </row>
    <row r="54" spans="1:18" x14ac:dyDescent="0.25">
      <c r="A54" s="111" t="s">
        <v>36</v>
      </c>
      <c r="B54" s="47" t="s">
        <v>61</v>
      </c>
      <c r="C54" s="47" t="s">
        <v>50</v>
      </c>
      <c r="D54" s="14" t="s">
        <v>50</v>
      </c>
      <c r="E54" s="48">
        <v>41708</v>
      </c>
      <c r="F54" s="49">
        <v>5914.48</v>
      </c>
      <c r="G54" s="50">
        <v>5717.33</v>
      </c>
      <c r="H54" s="50">
        <f>285.87+457.39</f>
        <v>743.26</v>
      </c>
      <c r="I54" s="50"/>
      <c r="J54" s="50"/>
      <c r="K54" s="51"/>
      <c r="L54" s="51">
        <v>0</v>
      </c>
      <c r="M54" s="51">
        <v>725.34</v>
      </c>
      <c r="N54" s="51">
        <f>1</f>
        <v>1</v>
      </c>
      <c r="O54" s="17">
        <f t="shared" si="2"/>
        <v>5734.25</v>
      </c>
      <c r="P54" s="51">
        <v>942.4</v>
      </c>
      <c r="Q54" s="51">
        <f>59.14</f>
        <v>59.14</v>
      </c>
      <c r="R54" s="20">
        <f t="shared" si="1"/>
        <v>6617.5099999999993</v>
      </c>
    </row>
    <row r="55" spans="1:18" x14ac:dyDescent="0.25">
      <c r="A55" s="110" t="s">
        <v>37</v>
      </c>
      <c r="B55" s="14" t="s">
        <v>61</v>
      </c>
      <c r="C55" s="71" t="s">
        <v>50</v>
      </c>
      <c r="D55" s="14" t="s">
        <v>90</v>
      </c>
      <c r="E55" s="81">
        <v>36739</v>
      </c>
      <c r="F55" s="40">
        <v>10289.06</v>
      </c>
      <c r="G55" s="40">
        <v>10289.06</v>
      </c>
      <c r="H55" s="40">
        <f>514.45+3715.5+823.12</f>
        <v>5053.07</v>
      </c>
      <c r="I55" s="40"/>
      <c r="J55" s="40"/>
      <c r="K55" s="121"/>
      <c r="L55" s="20">
        <v>951.62</v>
      </c>
      <c r="M55" s="19">
        <v>3061.39</v>
      </c>
      <c r="N55" s="41">
        <f>1</f>
        <v>1</v>
      </c>
      <c r="O55" s="17">
        <f t="shared" si="2"/>
        <v>11328.119999999999</v>
      </c>
      <c r="P55" s="32">
        <v>942.4</v>
      </c>
      <c r="Q55" s="41">
        <f>511.4+102.89</f>
        <v>614.29</v>
      </c>
      <c r="R55" s="20">
        <f t="shared" si="1"/>
        <v>11656.23</v>
      </c>
    </row>
    <row r="56" spans="1:18" x14ac:dyDescent="0.25">
      <c r="A56" s="42"/>
      <c r="B56" s="42"/>
      <c r="C56" s="97"/>
      <c r="D56" s="21" t="s">
        <v>72</v>
      </c>
      <c r="E56" s="98"/>
      <c r="F56" s="44"/>
      <c r="G56" s="44"/>
      <c r="H56" s="44"/>
      <c r="I56" s="44"/>
      <c r="J56" s="44"/>
      <c r="K56" s="130"/>
      <c r="L56" s="36"/>
      <c r="M56" s="45"/>
      <c r="N56" s="46"/>
      <c r="O56" s="24">
        <f t="shared" si="2"/>
        <v>0</v>
      </c>
      <c r="P56" s="38"/>
      <c r="Q56" s="46"/>
      <c r="R56" s="36">
        <f t="shared" si="1"/>
        <v>0</v>
      </c>
    </row>
    <row r="57" spans="1:18" x14ac:dyDescent="0.25">
      <c r="A57" s="108" t="s">
        <v>38</v>
      </c>
      <c r="B57" s="14" t="s">
        <v>62</v>
      </c>
      <c r="C57" s="14" t="s">
        <v>50</v>
      </c>
      <c r="D57" s="25" t="s">
        <v>50</v>
      </c>
      <c r="E57" s="15">
        <v>36342</v>
      </c>
      <c r="F57" s="28">
        <v>7717.06</v>
      </c>
      <c r="G57" s="29">
        <v>7717.06</v>
      </c>
      <c r="H57" s="29">
        <v>617.36</v>
      </c>
      <c r="I57" s="50"/>
      <c r="J57" s="29"/>
      <c r="K57" s="20"/>
      <c r="L57" s="20">
        <v>951.62</v>
      </c>
      <c r="M57" s="20">
        <v>1082.1300000000001</v>
      </c>
      <c r="N57" s="20">
        <f>1+345.51</f>
        <v>346.51</v>
      </c>
      <c r="O57" s="39">
        <f t="shared" si="2"/>
        <v>5954.16</v>
      </c>
      <c r="P57" s="20">
        <f>942.4</f>
        <v>942.4</v>
      </c>
      <c r="Q57" s="20">
        <f>277.81+77.17</f>
        <v>354.98</v>
      </c>
      <c r="R57" s="27">
        <f t="shared" si="1"/>
        <v>6541.58</v>
      </c>
    </row>
    <row r="58" spans="1:18" x14ac:dyDescent="0.25">
      <c r="A58" s="118" t="s">
        <v>98</v>
      </c>
      <c r="B58" s="71" t="s">
        <v>61</v>
      </c>
      <c r="C58" s="100" t="s">
        <v>99</v>
      </c>
      <c r="D58" s="71" t="s">
        <v>100</v>
      </c>
      <c r="E58" s="72">
        <v>45607</v>
      </c>
      <c r="F58" s="73">
        <v>3901.28</v>
      </c>
      <c r="G58" s="55">
        <v>3901.28</v>
      </c>
      <c r="H58" s="29"/>
      <c r="I58" s="74"/>
      <c r="J58" s="55"/>
      <c r="K58" s="31"/>
      <c r="L58" s="31">
        <v>361.55</v>
      </c>
      <c r="M58" s="31">
        <v>119.03</v>
      </c>
      <c r="N58" s="31">
        <f>1+97.53</f>
        <v>98.53</v>
      </c>
      <c r="O58" s="82">
        <f t="shared" si="2"/>
        <v>3322.1699999999996</v>
      </c>
      <c r="P58" s="31">
        <f>942.4+186.2</f>
        <v>1128.5999999999999</v>
      </c>
      <c r="Q58" s="31">
        <v>0</v>
      </c>
      <c r="R58" s="20">
        <f t="shared" ref="R58" si="3">O58+P58-Q58</f>
        <v>4450.7699999999995</v>
      </c>
    </row>
    <row r="59" spans="1:18" x14ac:dyDescent="0.25">
      <c r="A59" s="99"/>
      <c r="B59" s="33"/>
      <c r="C59" s="101"/>
      <c r="D59" s="33" t="s">
        <v>73</v>
      </c>
      <c r="E59" s="103"/>
      <c r="F59" s="103"/>
      <c r="G59" s="103"/>
      <c r="H59" s="102"/>
      <c r="I59" s="104"/>
      <c r="J59" s="105"/>
      <c r="K59" s="106"/>
      <c r="L59" s="106"/>
      <c r="M59" s="106"/>
      <c r="N59" s="106"/>
      <c r="O59" s="106"/>
      <c r="P59" s="106"/>
      <c r="Q59" s="106"/>
      <c r="R59" s="107"/>
    </row>
    <row r="60" spans="1:18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R60" s="12"/>
    </row>
    <row r="61" spans="1:18" x14ac:dyDescent="0.25">
      <c r="A61" s="4" t="s">
        <v>74</v>
      </c>
      <c r="B61" s="5"/>
      <c r="C61" s="5"/>
      <c r="D61" s="5"/>
      <c r="K61" s="1"/>
      <c r="R61" s="13"/>
    </row>
    <row r="62" spans="1:18" x14ac:dyDescent="0.25">
      <c r="A62" s="4" t="s">
        <v>75</v>
      </c>
      <c r="B62" s="5"/>
      <c r="C62" s="5"/>
      <c r="D62" s="5"/>
      <c r="P62" s="6"/>
    </row>
    <row r="63" spans="1:18" x14ac:dyDescent="0.25">
      <c r="A63" s="4" t="s">
        <v>76</v>
      </c>
      <c r="B63" s="5"/>
      <c r="C63" s="5"/>
      <c r="D63" s="5"/>
      <c r="R63" s="11"/>
    </row>
    <row r="64" spans="1:18" x14ac:dyDescent="0.25">
      <c r="A64" s="4"/>
      <c r="P64" s="6"/>
      <c r="Q64" s="6"/>
      <c r="R64" s="11"/>
    </row>
    <row r="65" spans="15:20" x14ac:dyDescent="0.25">
      <c r="P65" s="6"/>
      <c r="Q65" s="6"/>
      <c r="R65" s="11"/>
    </row>
    <row r="66" spans="15:20" x14ac:dyDescent="0.25">
      <c r="P66" s="6"/>
      <c r="Q66" s="6"/>
      <c r="R66" s="10"/>
    </row>
    <row r="67" spans="15:20" x14ac:dyDescent="0.25">
      <c r="P67" s="7"/>
      <c r="Q67" s="6"/>
      <c r="R67" s="10"/>
    </row>
    <row r="68" spans="15:20" x14ac:dyDescent="0.25">
      <c r="P68" s="6"/>
      <c r="Q68" s="6"/>
      <c r="R68" s="10"/>
    </row>
    <row r="69" spans="15:20" x14ac:dyDescent="0.25">
      <c r="P69" s="6"/>
      <c r="Q69" s="6"/>
      <c r="R69" s="1"/>
    </row>
    <row r="70" spans="15:20" x14ac:dyDescent="0.25">
      <c r="P70" s="6"/>
      <c r="Q70" s="6"/>
      <c r="R70" s="1"/>
    </row>
    <row r="71" spans="15:20" x14ac:dyDescent="0.25">
      <c r="P71" s="6"/>
      <c r="Q71" s="6"/>
      <c r="R71" s="1"/>
    </row>
    <row r="72" spans="15:20" x14ac:dyDescent="0.25">
      <c r="P72" s="6"/>
      <c r="Q72" s="6"/>
      <c r="R72" s="1"/>
    </row>
    <row r="73" spans="15:20" x14ac:dyDescent="0.25">
      <c r="P73" s="6"/>
      <c r="Q73" s="6"/>
      <c r="R73" s="1"/>
    </row>
    <row r="74" spans="15:20" x14ac:dyDescent="0.25">
      <c r="P74" s="6"/>
      <c r="Q74" s="6"/>
      <c r="R74" s="1"/>
    </row>
    <row r="75" spans="15:20" x14ac:dyDescent="0.25">
      <c r="O75" s="6"/>
      <c r="R75" s="11"/>
    </row>
    <row r="76" spans="15:20" x14ac:dyDescent="0.25">
      <c r="Q76" s="1"/>
      <c r="R76" s="11"/>
    </row>
    <row r="77" spans="15:20" x14ac:dyDescent="0.25">
      <c r="R77" s="11"/>
    </row>
    <row r="78" spans="15:20" x14ac:dyDescent="0.25">
      <c r="R78" s="11"/>
    </row>
    <row r="79" spans="15:20" x14ac:dyDescent="0.25">
      <c r="R79" s="11"/>
      <c r="T79" s="1"/>
    </row>
    <row r="80" spans="15:20" x14ac:dyDescent="0.25">
      <c r="R80" s="10"/>
    </row>
    <row r="81" spans="18:18" x14ac:dyDescent="0.25">
      <c r="R81" s="10"/>
    </row>
    <row r="82" spans="18:18" x14ac:dyDescent="0.25">
      <c r="R82" s="10"/>
    </row>
    <row r="83" spans="18:18" x14ac:dyDescent="0.25">
      <c r="R83" s="10"/>
    </row>
    <row r="84" spans="18:18" x14ac:dyDescent="0.25">
      <c r="R84" s="10"/>
    </row>
    <row r="85" spans="18:18" x14ac:dyDescent="0.25">
      <c r="R85" s="10"/>
    </row>
    <row r="87" spans="18:18" x14ac:dyDescent="0.25">
      <c r="R87" s="1"/>
    </row>
  </sheetData>
  <mergeCells count="18">
    <mergeCell ref="K55:K56"/>
    <mergeCell ref="H46:H47"/>
    <mergeCell ref="J46:J47"/>
    <mergeCell ref="K46:K47"/>
    <mergeCell ref="Q46:Q47"/>
    <mergeCell ref="J8:K8"/>
    <mergeCell ref="A7:R7"/>
    <mergeCell ref="H15:H16"/>
    <mergeCell ref="J15:J16"/>
    <mergeCell ref="K15:K16"/>
    <mergeCell ref="G8:H8"/>
    <mergeCell ref="L8:M8"/>
    <mergeCell ref="L15:L16"/>
    <mergeCell ref="Q36:Q37"/>
    <mergeCell ref="K26:K27"/>
    <mergeCell ref="H36:H37"/>
    <mergeCell ref="J36:J37"/>
    <mergeCell ref="K36:K37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2025-04-03T19:25:21Z</dcterms:modified>
</cp:coreProperties>
</file>