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N:\Contabilidade.2025\Contabilidade Kléber\Folha de Pagamento\LAI\"/>
    </mc:Choice>
  </mc:AlternateContent>
  <xr:revisionPtr revIDLastSave="0" documentId="13_ncr:1_{6147254D-D8BF-4B9D-B5EE-E4C37B2BD5BF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Agosto-2025" sheetId="5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3" i="55" l="1"/>
  <c r="M54" i="55"/>
  <c r="L54" i="55"/>
  <c r="Q42" i="55"/>
  <c r="M42" i="55"/>
  <c r="L42" i="55"/>
  <c r="P42" i="55"/>
  <c r="M37" i="55"/>
  <c r="L37" i="55"/>
  <c r="Q33" i="55"/>
  <c r="L33" i="55"/>
  <c r="L25" i="55"/>
  <c r="M21" i="55"/>
  <c r="L21" i="55"/>
  <c r="M17" i="55"/>
  <c r="L17" i="55"/>
  <c r="P17" i="55"/>
  <c r="P60" i="55" l="1"/>
  <c r="N56" i="55"/>
  <c r="H56" i="55"/>
  <c r="P55" i="55"/>
  <c r="N55" i="55"/>
  <c r="H55" i="55"/>
  <c r="N54" i="55"/>
  <c r="Q53" i="55"/>
  <c r="P53" i="55"/>
  <c r="N53" i="55"/>
  <c r="Q52" i="55"/>
  <c r="P52" i="55"/>
  <c r="N52" i="55"/>
  <c r="H52" i="55"/>
  <c r="P51" i="55"/>
  <c r="Q50" i="55"/>
  <c r="P50" i="55"/>
  <c r="N50" i="55"/>
  <c r="Q48" i="55"/>
  <c r="N48" i="55"/>
  <c r="Q47" i="55"/>
  <c r="N47" i="55"/>
  <c r="H47" i="55"/>
  <c r="Q46" i="55"/>
  <c r="P46" i="55"/>
  <c r="N46" i="55"/>
  <c r="P45" i="55"/>
  <c r="N45" i="55"/>
  <c r="Q44" i="55"/>
  <c r="P44" i="55"/>
  <c r="N44" i="55"/>
  <c r="H44" i="55"/>
  <c r="P43" i="55"/>
  <c r="N43" i="55"/>
  <c r="H43" i="55"/>
  <c r="N40" i="55"/>
  <c r="N38" i="55"/>
  <c r="N37" i="55"/>
  <c r="Q36" i="55"/>
  <c r="H36" i="55"/>
  <c r="N35" i="55"/>
  <c r="Q32" i="55"/>
  <c r="P32" i="55"/>
  <c r="N32" i="55"/>
  <c r="H32" i="55"/>
  <c r="Q31" i="55"/>
  <c r="P31" i="55"/>
  <c r="Q30" i="55"/>
  <c r="Q28" i="55"/>
  <c r="N27" i="55"/>
  <c r="Q27" i="55"/>
  <c r="P27" i="55"/>
  <c r="Q24" i="55"/>
  <c r="P24" i="55"/>
  <c r="N24" i="55"/>
  <c r="H24" i="55"/>
  <c r="Q23" i="55"/>
  <c r="N23" i="55"/>
  <c r="H23" i="55"/>
  <c r="Q22" i="55"/>
  <c r="P22" i="55"/>
  <c r="N22" i="55"/>
  <c r="H22" i="55"/>
  <c r="P21" i="55"/>
  <c r="P20" i="55"/>
  <c r="N20" i="55"/>
  <c r="H20" i="55"/>
  <c r="N17" i="55"/>
  <c r="N16" i="55"/>
  <c r="P16" i="55"/>
  <c r="Q14" i="55"/>
  <c r="P14" i="55"/>
  <c r="N12" i="55"/>
  <c r="Q10" i="55"/>
  <c r="P10" i="55"/>
  <c r="N10" i="55"/>
  <c r="Q45" i="55" l="1"/>
  <c r="H25" i="55"/>
  <c r="N21" i="55" l="1"/>
  <c r="H10" i="55"/>
  <c r="H54" i="55"/>
  <c r="P25" i="55"/>
  <c r="Q19" i="55"/>
  <c r="N19" i="55"/>
  <c r="R28" i="55"/>
  <c r="H28" i="55"/>
  <c r="R12" i="55"/>
  <c r="O12" i="55"/>
  <c r="Q51" i="55" l="1"/>
  <c r="N51" i="55"/>
  <c r="P48" i="55"/>
  <c r="H21" i="55"/>
  <c r="P19" i="55"/>
  <c r="Q59" i="55" l="1"/>
  <c r="N59" i="55"/>
  <c r="Q57" i="55"/>
  <c r="Q35" i="55"/>
  <c r="N33" i="55"/>
  <c r="N30" i="55"/>
  <c r="Q20" i="55"/>
  <c r="H19" i="55"/>
  <c r="H57" i="55" l="1"/>
  <c r="N31" i="55"/>
  <c r="N14" i="55"/>
  <c r="N57" i="55"/>
  <c r="N60" i="55" l="1"/>
  <c r="O60" i="55" s="1"/>
  <c r="R60" i="55" s="1"/>
  <c r="P59" i="55"/>
  <c r="Q56" i="55"/>
  <c r="P38" i="55"/>
  <c r="Q21" i="55"/>
  <c r="Q17" i="55"/>
  <c r="G14" i="55"/>
  <c r="O10" i="55"/>
  <c r="O58" i="55"/>
  <c r="O49" i="55"/>
  <c r="O41" i="55"/>
  <c r="O39" i="55"/>
  <c r="O34" i="55"/>
  <c r="O29" i="55"/>
  <c r="O26" i="55"/>
  <c r="O18" i="55"/>
  <c r="O15" i="55"/>
  <c r="O51" i="55" l="1"/>
  <c r="R58" i="55"/>
  <c r="R49" i="55"/>
  <c r="R41" i="55"/>
  <c r="R39" i="55"/>
  <c r="R34" i="55"/>
  <c r="R26" i="55"/>
  <c r="R18" i="55"/>
  <c r="R15" i="55"/>
  <c r="O53" i="55"/>
  <c r="O45" i="55"/>
  <c r="O40" i="55"/>
  <c r="O33" i="55"/>
  <c r="O27" i="55"/>
  <c r="O57" i="55"/>
  <c r="O55" i="55"/>
  <c r="O46" i="55"/>
  <c r="O44" i="55"/>
  <c r="O43" i="55"/>
  <c r="H42" i="55"/>
  <c r="P37" i="55"/>
  <c r="O37" i="55"/>
  <c r="P36" i="55"/>
  <c r="P35" i="55"/>
  <c r="O28" i="55"/>
  <c r="O20" i="55"/>
  <c r="O19" i="55"/>
  <c r="O16" i="55"/>
  <c r="O14" i="55"/>
  <c r="O52" i="55" l="1"/>
  <c r="R52" i="55" s="1"/>
  <c r="O21" i="55"/>
  <c r="R21" i="55" s="1"/>
  <c r="O47" i="55"/>
  <c r="R47" i="55" s="1"/>
  <c r="O56" i="55"/>
  <c r="R56" i="55" s="1"/>
  <c r="O22" i="55"/>
  <c r="R22" i="55" s="1"/>
  <c r="O50" i="55"/>
  <c r="R50" i="55" s="1"/>
  <c r="O54" i="55"/>
  <c r="R54" i="55" s="1"/>
  <c r="O35" i="55"/>
  <c r="R35" i="55" s="1"/>
  <c r="O32" i="55"/>
  <c r="R32" i="55" s="1"/>
  <c r="O31" i="55"/>
  <c r="R31" i="55" s="1"/>
  <c r="O38" i="55"/>
  <c r="R38" i="55" s="1"/>
  <c r="O59" i="55"/>
  <c r="R59" i="55" s="1"/>
  <c r="O24" i="55"/>
  <c r="R24" i="55" s="1"/>
  <c r="R14" i="55"/>
  <c r="R44" i="55"/>
  <c r="R20" i="55"/>
  <c r="R55" i="55"/>
  <c r="R57" i="55"/>
  <c r="R45" i="55"/>
  <c r="R53" i="55"/>
  <c r="R19" i="55"/>
  <c r="R46" i="55"/>
  <c r="R27" i="55"/>
  <c r="R33" i="55"/>
  <c r="R40" i="55"/>
  <c r="R16" i="55"/>
  <c r="R37" i="55"/>
  <c r="R43" i="55"/>
  <c r="R51" i="55"/>
  <c r="N25" i="55"/>
  <c r="O17" i="55"/>
  <c r="R17" i="55" s="1"/>
  <c r="O25" i="55" l="1"/>
  <c r="R25" i="55" s="1"/>
  <c r="O23" i="55" l="1"/>
  <c r="R23" i="55" s="1"/>
  <c r="O48" i="55" l="1"/>
  <c r="R48" i="55" s="1"/>
  <c r="O30" i="55" l="1"/>
  <c r="R30" i="55" s="1"/>
  <c r="N42" i="55"/>
  <c r="N36" i="55"/>
  <c r="O42" i="55" l="1"/>
  <c r="R42" i="55" s="1"/>
  <c r="O36" i="55"/>
  <c r="R36" i="55" s="1"/>
  <c r="R10" i="55"/>
</calcChain>
</file>

<file path=xl/sharedStrings.xml><?xml version="1.0" encoding="utf-8"?>
<sst xmlns="http://schemas.openxmlformats.org/spreadsheetml/2006/main" count="197" uniqueCount="105">
  <si>
    <t>NOME</t>
  </si>
  <si>
    <t>FÉRIAS</t>
  </si>
  <si>
    <t>INSS</t>
  </si>
  <si>
    <t>GRATIFICAÇÕES</t>
  </si>
  <si>
    <t>ALDEÍSE DE ASSIS COSTA</t>
  </si>
  <si>
    <t>BARTIRA NOGUEIRA LEITE CARVALHO</t>
  </si>
  <si>
    <t>CLÉCIO DE SOUZA GOIS</t>
  </si>
  <si>
    <t>DIANA CRISTINA SILVA GUIMARÃES</t>
  </si>
  <si>
    <t>ELÍRIA ROCHA DE MORAIS</t>
  </si>
  <si>
    <t>ELYS ANA SANTOS ROCHA TAVARES</t>
  </si>
  <si>
    <t>ERIBERTO BARRETO DA SILVA SOBRINHO</t>
  </si>
  <si>
    <t>FABIANA MÉRCIA DA SILVA</t>
  </si>
  <si>
    <t>FRANCILENE NOGUEIRA FELISMINO DO VALE</t>
  </si>
  <si>
    <t>GLAUTER SENA DE MEDEIROS</t>
  </si>
  <si>
    <t>HELTON TARCÍSIO DE OLIVEIRA SILVA</t>
  </si>
  <si>
    <t>IRAN VITAL DA SILVA</t>
  </si>
  <si>
    <t>IVANA PEREIRA GERMANO</t>
  </si>
  <si>
    <t>IWAN FERNANDES DE AZEVEDO PEREIRA</t>
  </si>
  <si>
    <t>JANISELHO DAS NEVES SOUZA</t>
  </si>
  <si>
    <t>JÚLIO CÉSAR SOUZA DO AMARAL</t>
  </si>
  <si>
    <t>KLÉBER SANTOS DE MORAIS</t>
  </si>
  <si>
    <t>KLÉGIA FERNANDES GALIZA DE OLIVEIRA</t>
  </si>
  <si>
    <t>LARISSA LAYANE DE LIRA SANTOS</t>
  </si>
  <si>
    <t>LIANA BRANDÃO VARELA DE ALBUQUERQUE</t>
  </si>
  <si>
    <t>LUANA SANTOS DA SILVA</t>
  </si>
  <si>
    <t>LUCIANA CLÁUDIA ARAÚJO LINS CORREIA</t>
  </si>
  <si>
    <t>MARIA APARECIDA DE PAULA</t>
  </si>
  <si>
    <t>MARIA DA CONCEIÇÃO AUGUSTA FERNANDES DE LIMA</t>
  </si>
  <si>
    <t>MARIETA SOUZA TAVARES EMÍDIO PINHEIRO</t>
  </si>
  <si>
    <t>MARILISI ALVES DOS SANTOS</t>
  </si>
  <si>
    <t>NOELMA ARAÚJO PEREIRA</t>
  </si>
  <si>
    <t>RICARDO LUIZ DOS SANTOS</t>
  </si>
  <si>
    <t>ROBERTA MARIA FERREIRA DA SILVA</t>
  </si>
  <si>
    <t>RODRIGO FAGUNDES LOPES DE OLIVEIRA</t>
  </si>
  <si>
    <t>SANDRA ALVES DO NASCIMENTO</t>
  </si>
  <si>
    <t>SASKIA COUTINHO BARROS</t>
  </si>
  <si>
    <t>TACILA OLIVEIRA DE ARAÚJO</t>
  </si>
  <si>
    <t>VALKÍRIA MARTINS COSTA TORRES</t>
  </si>
  <si>
    <t>VIRGÍNIA ROSE CARNEIRO DE AZEVEDO FREIRE</t>
  </si>
  <si>
    <t>REMUNERAÇÃO BÁSICA</t>
  </si>
  <si>
    <t>SALÁRIO BASE</t>
  </si>
  <si>
    <t>REMUNERAÇÃO EVENTUAL</t>
  </si>
  <si>
    <t>DEDUÇÕES OBRIGATÓRIAS</t>
  </si>
  <si>
    <t>REMUNERAÇÃO APÓS DEDUÇÕES</t>
  </si>
  <si>
    <t>VERBAS INDENIZATÓRIAS</t>
  </si>
  <si>
    <t>DEDUÇÕES PESSOAIS</t>
  </si>
  <si>
    <t>FUNÇÃO /CARGO EM COMISSÃO</t>
  </si>
  <si>
    <t>DATA DE ADMISSÃO</t>
  </si>
  <si>
    <t>AGENTE DE T.I.</t>
  </si>
  <si>
    <t>AGENTE ADMINISTRATIVO</t>
  </si>
  <si>
    <t>ENFERMEIRO FISCAL</t>
  </si>
  <si>
    <t>MOTORISTA</t>
  </si>
  <si>
    <t>TELEFONISTA</t>
  </si>
  <si>
    <t>JORNALISTA</t>
  </si>
  <si>
    <t>PROCURADOR JURÍDICO</t>
  </si>
  <si>
    <t>SECRETÁRIO EXECUTIVO</t>
  </si>
  <si>
    <t>PROGRAMADOR</t>
  </si>
  <si>
    <t>CONTADOR</t>
  </si>
  <si>
    <t>RECEPCIONISTA</t>
  </si>
  <si>
    <t>ADMINISTRADOR</t>
  </si>
  <si>
    <t>ASSISTENTE DE ATENDIMENTO E CADASTRO</t>
  </si>
  <si>
    <t>SEDE (NATAL)</t>
  </si>
  <si>
    <t>SUBSEÇÃO DE MOSSORÓ</t>
  </si>
  <si>
    <t>SUBSEÇÃO DE PAU DOS FERROS</t>
  </si>
  <si>
    <t>SUBSEÇÃO DE CAICÓ</t>
  </si>
  <si>
    <t>CARGO/FORMAÇÃO</t>
  </si>
  <si>
    <t>IRRF</t>
  </si>
  <si>
    <t>DEMAIS DEDUÇÕES OBRIGATÓRIAS</t>
  </si>
  <si>
    <t>VALOR LÍQUIDO</t>
  </si>
  <si>
    <t>SALÁRIO DO MÊS</t>
  </si>
  <si>
    <t>LOTAÇÃO</t>
  </si>
  <si>
    <t>BACHAREL EM CIÊNCIAS DA COMPUTAÇÃO</t>
  </si>
  <si>
    <t>(CARGO EM COMISSÃO OCUPADO POR EMPREGADO PÚBLICO EFETIVO)</t>
  </si>
  <si>
    <t>(CARGO EM COMISSÃO OCUPADO POR EMPREGADO PÚBLICO NÃO-EFETIVO)</t>
  </si>
  <si>
    <t>* As demais deduções obrigatórias referem-se a: descontos de auxílio alimentação, desconto de auxílio transporte;</t>
  </si>
  <si>
    <t>* As deduções pessoais correspondem a: pensão judicial, desconto de mensalidade e contribuição sindicais, empréstimo consignado, plano de saúde;</t>
  </si>
  <si>
    <t>* As verbas indenizatórias referem-se a: auxílio alimentação, auxílio transporte, abono pecuniário, férias indenizadas;</t>
  </si>
  <si>
    <t>RETROATIVO (ACORDO COLETIVO)</t>
  </si>
  <si>
    <t>LEONARDO GOMES PEDROSA</t>
  </si>
  <si>
    <t>CHEFE DO DEPARTAMENTO FINANCEIRO</t>
  </si>
  <si>
    <t>ASSISTENTE DE COBRANÇA</t>
  </si>
  <si>
    <t>CHEFE DA PROCURADORIA-GERAL</t>
  </si>
  <si>
    <t>AGENTE DE CONTRATAÇÃO</t>
  </si>
  <si>
    <t>CHEFE DO DEPARTAMENTO DE TECNOLOGIA DA INFORMAÇÃO E COMUNICAÇÃO</t>
  </si>
  <si>
    <t>CORREGEDOR-GERAL</t>
  </si>
  <si>
    <t>CHEFE DE GABINETE</t>
  </si>
  <si>
    <t>CHEFE DA CONTROLADORIA-GERAL</t>
  </si>
  <si>
    <t>OUVIDOR-GERAL</t>
  </si>
  <si>
    <t>ASSISTENTE DE RECURSOS HUMANOS</t>
  </si>
  <si>
    <t>CHEFE DO DEPARTAMENTO ADMINISTRATIVO</t>
  </si>
  <si>
    <t>CHEFE DO DEPARTAMENTO DE FISCALIZAÇÃO E EXERCÍCIO PROFISSIONAL</t>
  </si>
  <si>
    <t>CHEFE DO DEPARTAMENTO DE INSCRIÇÃO, REGISTRO E CADASTRO</t>
  </si>
  <si>
    <t>JAQUELINE KARLA DA SILVA VASCONCELOS MOREIRA</t>
  </si>
  <si>
    <t>PSICÓLOGO</t>
  </si>
  <si>
    <t>COORDENADOR DE GESTÃO DE PESSOAS</t>
  </si>
  <si>
    <t>ANNA LUYZA BEZERRA DE LIMA</t>
  </si>
  <si>
    <t>ASSESSOR DE INFRAESTRUTURA E COMUNICAÇÃO</t>
  </si>
  <si>
    <t xml:space="preserve">ADMINISTRADOR DE REDES </t>
  </si>
  <si>
    <t>VIVIANE DA SILVA CARVALHO</t>
  </si>
  <si>
    <t>ENFERMEIRO</t>
  </si>
  <si>
    <t>COORDENADOR DA DIVISÃO DE PROCESSO ÉTICO</t>
  </si>
  <si>
    <t xml:space="preserve">13º SALÁRIO </t>
  </si>
  <si>
    <t>ANDRÉ LUIZ SOARES DA SILVA</t>
  </si>
  <si>
    <t>* O empregado público Iran Vital da Silva foi cedido ao Cofen em 05/05/2025, sendo a sua remuneração mensal paga pelo Coren-RN e reembolsada pelo Cofen.</t>
  </si>
  <si>
    <t>REMUNERAÇÃO REFERENTE À FOLHA DE PAGAMENTO DE AGOSTO/2025 - CONSELHO REGIONAL DE ENFERMAGEM DO RIO GRANDE DO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</si>
</sst>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43" fontId="0" fillId="0" borderId="0" xfId="0" applyNumberFormat="1"/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43" fontId="0" fillId="0" borderId="0" xfId="1" applyFont="1"/>
    <xf numFmtId="43" fontId="6" fillId="0" borderId="0" xfId="1" applyFont="1"/>
    <xf numFmtId="0" fontId="0" fillId="0" borderId="0" xfId="0" applyAlignment="1">
      <alignment horizontal="center"/>
    </xf>
    <xf numFmtId="0" fontId="3" fillId="3" borderId="5" xfId="0" applyFont="1" applyFill="1" applyBorder="1" applyAlignment="1">
      <alignment horizontal="center"/>
    </xf>
    <xf numFmtId="43" fontId="7" fillId="0" borderId="0" xfId="0" applyNumberFormat="1" applyFont="1"/>
    <xf numFmtId="43" fontId="7" fillId="0" borderId="0" xfId="1" applyFont="1"/>
    <xf numFmtId="0" fontId="1" fillId="0" borderId="0" xfId="0" applyFont="1"/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5" xfId="1" applyFont="1" applyBorder="1" applyAlignment="1">
      <alignment horizontal="right"/>
    </xf>
    <xf numFmtId="43" fontId="5" fillId="0" borderId="5" xfId="1" applyFont="1" applyBorder="1" applyAlignment="1"/>
    <xf numFmtId="43" fontId="5" fillId="0" borderId="5" xfId="1" applyFont="1" applyBorder="1"/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5" fillId="0" borderId="8" xfId="1" applyFont="1" applyBorder="1"/>
    <xf numFmtId="43" fontId="4" fillId="0" borderId="5" xfId="1" applyFont="1" applyBorder="1" applyAlignment="1">
      <alignment horizontal="left"/>
    </xf>
    <xf numFmtId="43" fontId="4" fillId="0" borderId="5" xfId="1" applyFont="1" applyBorder="1"/>
    <xf numFmtId="43" fontId="4" fillId="0" borderId="0" xfId="1" applyFont="1" applyBorder="1"/>
    <xf numFmtId="43" fontId="5" fillId="0" borderId="7" xfId="1" applyFont="1" applyBorder="1"/>
    <xf numFmtId="43" fontId="5" fillId="0" borderId="10" xfId="1" applyFont="1" applyBorder="1"/>
    <xf numFmtId="0" fontId="4" fillId="0" borderId="3" xfId="0" applyFont="1" applyBorder="1" applyAlignment="1">
      <alignment horizontal="center"/>
    </xf>
    <xf numFmtId="43" fontId="4" fillId="0" borderId="6" xfId="1" applyFont="1" applyBorder="1" applyAlignment="1">
      <alignment horizontal="left"/>
    </xf>
    <xf numFmtId="43" fontId="4" fillId="0" borderId="6" xfId="1" applyFont="1" applyBorder="1"/>
    <xf numFmtId="43" fontId="5" fillId="0" borderId="6" xfId="1" applyFont="1" applyBorder="1"/>
    <xf numFmtId="43" fontId="5" fillId="0" borderId="3" xfId="1" applyFont="1" applyBorder="1"/>
    <xf numFmtId="43" fontId="5" fillId="0" borderId="2" xfId="1" applyFont="1" applyBorder="1"/>
    <xf numFmtId="43" fontId="5" fillId="0" borderId="8" xfId="1" applyFont="1" applyBorder="1" applyAlignment="1">
      <alignment horizontal="center"/>
    </xf>
    <xf numFmtId="43" fontId="4" fillId="0" borderId="5" xfId="1" applyFont="1" applyBorder="1" applyAlignment="1"/>
    <xf numFmtId="43" fontId="5" fillId="0" borderId="7" xfId="1" applyFont="1" applyBorder="1" applyAlignment="1"/>
    <xf numFmtId="0" fontId="4" fillId="0" borderId="6" xfId="0" applyFont="1" applyBorder="1"/>
    <xf numFmtId="14" fontId="4" fillId="0" borderId="6" xfId="0" applyNumberFormat="1" applyFont="1" applyBorder="1"/>
    <xf numFmtId="43" fontId="4" fillId="0" borderId="6" xfId="1" applyFont="1" applyBorder="1" applyAlignment="1"/>
    <xf numFmtId="43" fontId="5" fillId="0" borderId="6" xfId="1" applyFont="1" applyBorder="1" applyAlignment="1"/>
    <xf numFmtId="43" fontId="5" fillId="0" borderId="3" xfId="1" applyFont="1" applyBorder="1" applyAlignme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left"/>
    </xf>
    <xf numFmtId="43" fontId="4" fillId="0" borderId="1" xfId="1" applyFont="1" applyBorder="1"/>
    <xf numFmtId="43" fontId="5" fillId="0" borderId="1" xfId="1" applyFont="1" applyBorder="1"/>
    <xf numFmtId="43" fontId="4" fillId="0" borderId="1" xfId="1" applyFont="1" applyBorder="1" applyAlignment="1">
      <alignment horizontal="right"/>
    </xf>
    <xf numFmtId="43" fontId="8" fillId="0" borderId="1" xfId="1" applyFont="1" applyBorder="1"/>
    <xf numFmtId="0" fontId="4" fillId="0" borderId="9" xfId="0" applyFont="1" applyBorder="1" applyAlignment="1">
      <alignment horizontal="center"/>
    </xf>
    <xf numFmtId="43" fontId="4" fillId="0" borderId="7" xfId="1" applyFont="1" applyBorder="1"/>
    <xf numFmtId="43" fontId="4" fillId="0" borderId="9" xfId="1" applyFont="1" applyBorder="1"/>
    <xf numFmtId="0" fontId="4" fillId="0" borderId="4" xfId="0" applyFont="1" applyBorder="1" applyAlignment="1">
      <alignment horizontal="center"/>
    </xf>
    <xf numFmtId="43" fontId="4" fillId="0" borderId="3" xfId="1" applyFont="1" applyBorder="1"/>
    <xf numFmtId="43" fontId="4" fillId="0" borderId="4" xfId="1" applyFont="1" applyBorder="1"/>
    <xf numFmtId="0" fontId="4" fillId="2" borderId="6" xfId="0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43" fontId="4" fillId="2" borderId="6" xfId="1" applyFont="1" applyFill="1" applyBorder="1" applyAlignment="1">
      <alignment horizontal="left"/>
    </xf>
    <xf numFmtId="43" fontId="4" fillId="2" borderId="6" xfId="1" applyFont="1" applyFill="1" applyBorder="1"/>
    <xf numFmtId="43" fontId="5" fillId="0" borderId="10" xfId="1" applyFont="1" applyBorder="1" applyAlignment="1"/>
    <xf numFmtId="0" fontId="4" fillId="0" borderId="8" xfId="0" applyFont="1" applyBorder="1"/>
    <xf numFmtId="43" fontId="4" fillId="0" borderId="8" xfId="1" applyFont="1" applyBorder="1" applyAlignment="1"/>
    <xf numFmtId="43" fontId="5" fillId="0" borderId="8" xfId="1" applyFont="1" applyBorder="1" applyAlignment="1"/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43" fontId="4" fillId="0" borderId="13" xfId="1" applyFont="1" applyBorder="1"/>
    <xf numFmtId="14" fontId="4" fillId="0" borderId="3" xfId="0" applyNumberFormat="1" applyFont="1" applyBorder="1" applyAlignment="1">
      <alignment horizontal="center"/>
    </xf>
    <xf numFmtId="43" fontId="4" fillId="0" borderId="3" xfId="1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left"/>
    </xf>
    <xf numFmtId="43" fontId="4" fillId="2" borderId="1" xfId="1" applyFont="1" applyFill="1" applyBorder="1"/>
    <xf numFmtId="14" fontId="4" fillId="0" borderId="10" xfId="0" applyNumberFormat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4" fillId="0" borderId="11" xfId="0" applyFont="1" applyBorder="1"/>
    <xf numFmtId="14" fontId="4" fillId="0" borderId="12" xfId="0" applyNumberFormat="1" applyFont="1" applyBorder="1"/>
    <xf numFmtId="43" fontId="4" fillId="0" borderId="8" xfId="1" applyFont="1" applyBorder="1" applyAlignment="1">
      <alignment horizontal="center"/>
    </xf>
    <xf numFmtId="43" fontId="5" fillId="0" borderId="11" xfId="1" applyFont="1" applyBorder="1" applyAlignment="1"/>
    <xf numFmtId="43" fontId="5" fillId="0" borderId="12" xfId="1" applyFont="1" applyBorder="1"/>
    <xf numFmtId="0" fontId="4" fillId="2" borderId="5" xfId="0" applyFont="1" applyFill="1" applyBorder="1" applyAlignment="1">
      <alignment horizontal="center"/>
    </xf>
    <xf numFmtId="43" fontId="4" fillId="0" borderId="7" xfId="1" applyFont="1" applyBorder="1" applyAlignment="1"/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4" fillId="0" borderId="3" xfId="1" applyFont="1" applyBorder="1" applyAlignment="1"/>
    <xf numFmtId="43" fontId="4" fillId="0" borderId="4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3" xfId="0" applyFont="1" applyBorder="1"/>
    <xf numFmtId="14" fontId="4" fillId="0" borderId="2" xfId="0" applyNumberFormat="1" applyFont="1" applyBorder="1"/>
    <xf numFmtId="0" fontId="4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1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3" xfId="0" applyBorder="1"/>
    <xf numFmtId="0" fontId="1" fillId="0" borderId="6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/>
    <xf numFmtId="0" fontId="4" fillId="0" borderId="1" xfId="0" applyFont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9" xfId="0" applyFont="1" applyBorder="1"/>
    <xf numFmtId="0" fontId="4" fillId="0" borderId="4" xfId="0" applyFont="1" applyBorder="1"/>
    <xf numFmtId="0" fontId="4" fillId="0" borderId="7" xfId="0" applyFont="1" applyBorder="1" applyAlignment="1">
      <alignment horizontal="left"/>
    </xf>
    <xf numFmtId="43" fontId="5" fillId="0" borderId="11" xfId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5" fillId="0" borderId="12" xfId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7" fillId="0" borderId="0" xfId="0" applyFont="1"/>
    <xf numFmtId="43" fontId="9" fillId="0" borderId="0" xfId="1" applyFont="1"/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7" xfId="1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1" fillId="0" borderId="0" xfId="0" applyNumberFormat="1" applyFont="1"/>
  </cellXfs>
  <cellStyles count="3">
    <cellStyle name="Normal" xfId="0" builtinId="0"/>
    <cellStyle name="Vírgula" xfId="1" builtinId="3"/>
    <cellStyle name="Vírgula 2" xfId="2" xr:uid="{B272E439-B7CB-407E-AF36-8BE3FEEBE4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0</xdr:row>
      <xdr:rowOff>66676</xdr:rowOff>
    </xdr:from>
    <xdr:to>
      <xdr:col>9</xdr:col>
      <xdr:colOff>38100</xdr:colOff>
      <xdr:row>4</xdr:row>
      <xdr:rowOff>142876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736AD5-32D2-1CA4-E2CF-AF3F7690028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972676" y="66676"/>
          <a:ext cx="3705224" cy="8382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F822-DC5A-4F0B-9871-ED8F59D06646}">
  <sheetPr>
    <pageSetUpPr fitToPage="1"/>
  </sheetPr>
  <dimension ref="A7:T89"/>
  <sheetViews>
    <sheetView tabSelected="1" workbookViewId="0">
      <selection activeCell="R63" sqref="R63"/>
    </sheetView>
  </sheetViews>
  <sheetFormatPr defaultRowHeight="15" x14ac:dyDescent="0.25"/>
  <cols>
    <col min="1" max="1" width="42.28515625" customWidth="1"/>
    <col min="2" max="2" width="25.140625" bestFit="1" customWidth="1"/>
    <col min="3" max="3" width="32.5703125" bestFit="1" customWidth="1"/>
    <col min="4" max="4" width="59.85546875" bestFit="1" customWidth="1"/>
    <col min="5" max="5" width="16.85546875" customWidth="1"/>
    <col min="6" max="6" width="13.7109375" customWidth="1"/>
    <col min="7" max="7" width="17.140625" customWidth="1"/>
    <col min="8" max="8" width="13.7109375" bestFit="1" customWidth="1"/>
    <col min="9" max="9" width="27.85546875" hidden="1" customWidth="1"/>
    <col min="10" max="10" width="12.5703125" customWidth="1"/>
    <col min="11" max="11" width="21.7109375" bestFit="1" customWidth="1"/>
    <col min="12" max="12" width="11" customWidth="1"/>
    <col min="13" max="13" width="12" customWidth="1"/>
    <col min="14" max="14" width="28.28515625" customWidth="1"/>
    <col min="15" max="15" width="27" customWidth="1"/>
    <col min="16" max="16" width="20.85546875" customWidth="1"/>
    <col min="17" max="17" width="18" customWidth="1"/>
    <col min="18" max="18" width="13.42578125" customWidth="1"/>
  </cols>
  <sheetData>
    <row r="7" spans="1:18" x14ac:dyDescent="0.25">
      <c r="A7" s="128" t="s">
        <v>104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30"/>
    </row>
    <row r="8" spans="1:18" x14ac:dyDescent="0.25">
      <c r="A8" s="3"/>
      <c r="B8" s="3"/>
      <c r="C8" s="3"/>
      <c r="D8" s="3"/>
      <c r="E8" s="3"/>
      <c r="F8" s="3"/>
      <c r="G8" s="127" t="s">
        <v>39</v>
      </c>
      <c r="H8" s="127"/>
      <c r="I8" s="3" t="s">
        <v>77</v>
      </c>
      <c r="J8" s="127" t="s">
        <v>41</v>
      </c>
      <c r="K8" s="127"/>
      <c r="L8" s="127" t="s">
        <v>42</v>
      </c>
      <c r="M8" s="127"/>
      <c r="N8" s="3" t="s">
        <v>67</v>
      </c>
      <c r="O8" s="3" t="s">
        <v>43</v>
      </c>
      <c r="P8" s="3" t="s">
        <v>44</v>
      </c>
      <c r="Q8" s="3" t="s">
        <v>45</v>
      </c>
      <c r="R8" s="3" t="s">
        <v>68</v>
      </c>
    </row>
    <row r="9" spans="1:18" x14ac:dyDescent="0.25">
      <c r="A9" s="9" t="s">
        <v>0</v>
      </c>
      <c r="B9" s="9" t="s">
        <v>70</v>
      </c>
      <c r="C9" s="9" t="s">
        <v>65</v>
      </c>
      <c r="D9" s="9" t="s">
        <v>46</v>
      </c>
      <c r="E9" s="9" t="s">
        <v>47</v>
      </c>
      <c r="F9" s="9" t="s">
        <v>40</v>
      </c>
      <c r="G9" s="9" t="s">
        <v>69</v>
      </c>
      <c r="H9" s="9" t="s">
        <v>3</v>
      </c>
      <c r="I9" s="9"/>
      <c r="J9" s="9" t="s">
        <v>1</v>
      </c>
      <c r="K9" s="9" t="s">
        <v>101</v>
      </c>
      <c r="L9" s="9" t="s">
        <v>2</v>
      </c>
      <c r="M9" s="9" t="s">
        <v>66</v>
      </c>
      <c r="N9" s="9"/>
      <c r="O9" s="9"/>
      <c r="P9" s="9"/>
      <c r="Q9" s="9"/>
      <c r="R9" s="9"/>
    </row>
    <row r="10" spans="1:18" s="8" customFormat="1" x14ac:dyDescent="0.25">
      <c r="A10" s="103" t="s">
        <v>4</v>
      </c>
      <c r="B10" s="13" t="s">
        <v>61</v>
      </c>
      <c r="C10" s="13" t="s">
        <v>48</v>
      </c>
      <c r="D10" s="13" t="s">
        <v>79</v>
      </c>
      <c r="E10" s="14">
        <v>41218</v>
      </c>
      <c r="F10" s="15">
        <v>3743.05</v>
      </c>
      <c r="G10" s="15">
        <v>3743.05</v>
      </c>
      <c r="H10" s="15">
        <f>224.58+187.15+299.44+3715.5</f>
        <v>4426.67</v>
      </c>
      <c r="I10" s="15"/>
      <c r="J10" s="15"/>
      <c r="K10" s="16"/>
      <c r="L10" s="16">
        <v>951.62</v>
      </c>
      <c r="M10" s="16">
        <v>1076.25</v>
      </c>
      <c r="N10" s="17">
        <f>1+93.58</f>
        <v>94.58</v>
      </c>
      <c r="O10" s="16">
        <f>G10+H10+I10+J10+K10-L10-M10-N10</f>
        <v>6047.27</v>
      </c>
      <c r="P10" s="18">
        <f>942.4+255.2</f>
        <v>1197.5999999999999</v>
      </c>
      <c r="Q10" s="17">
        <f>1298.34+37.43</f>
        <v>1335.77</v>
      </c>
      <c r="R10" s="19">
        <f>O10+P10-Q10</f>
        <v>5909.1</v>
      </c>
    </row>
    <row r="11" spans="1:18" s="8" customFormat="1" x14ac:dyDescent="0.25">
      <c r="A11" s="20"/>
      <c r="B11" s="20"/>
      <c r="C11" s="20"/>
      <c r="D11" s="20" t="s">
        <v>72</v>
      </c>
      <c r="E11" s="21"/>
      <c r="F11" s="22"/>
      <c r="G11" s="22"/>
      <c r="H11" s="22"/>
      <c r="I11" s="22"/>
      <c r="J11" s="22"/>
      <c r="K11" s="23"/>
      <c r="L11" s="23"/>
      <c r="M11" s="23"/>
      <c r="N11" s="23"/>
      <c r="O11" s="23"/>
      <c r="P11" s="23"/>
      <c r="Q11" s="23"/>
      <c r="R11" s="23"/>
    </row>
    <row r="12" spans="1:18" s="8" customFormat="1" x14ac:dyDescent="0.25">
      <c r="A12" s="118" t="s">
        <v>102</v>
      </c>
      <c r="B12" s="13" t="s">
        <v>61</v>
      </c>
      <c r="C12" s="13" t="s">
        <v>56</v>
      </c>
      <c r="D12" s="13" t="s">
        <v>83</v>
      </c>
      <c r="E12" s="115">
        <v>45779</v>
      </c>
      <c r="F12" s="80">
        <v>7431</v>
      </c>
      <c r="G12" s="80">
        <v>7431</v>
      </c>
      <c r="H12" s="80"/>
      <c r="I12" s="116"/>
      <c r="J12" s="80"/>
      <c r="K12" s="37"/>
      <c r="L12" s="37">
        <v>849.92</v>
      </c>
      <c r="M12" s="37">
        <v>848.93</v>
      </c>
      <c r="N12" s="114">
        <f>1+94.23</f>
        <v>95.23</v>
      </c>
      <c r="O12" s="16">
        <f>G12+H12+I12+J12+K12-L12-M12-N12</f>
        <v>5636.92</v>
      </c>
      <c r="P12" s="117">
        <v>942.4</v>
      </c>
      <c r="Q12" s="114">
        <v>402.63</v>
      </c>
      <c r="R12" s="19">
        <f>O12+P12-Q12</f>
        <v>6176.69</v>
      </c>
    </row>
    <row r="13" spans="1:18" s="8" customFormat="1" x14ac:dyDescent="0.25">
      <c r="A13" s="24"/>
      <c r="B13" s="24"/>
      <c r="C13" s="24"/>
      <c r="D13" s="20" t="s">
        <v>73</v>
      </c>
      <c r="E13" s="115"/>
      <c r="F13" s="80"/>
      <c r="G13" s="80"/>
      <c r="H13" s="80"/>
      <c r="I13" s="116"/>
      <c r="J13" s="80"/>
      <c r="K13" s="37"/>
      <c r="L13" s="37"/>
      <c r="M13" s="37"/>
      <c r="N13" s="114"/>
      <c r="O13" s="37"/>
      <c r="P13" s="117"/>
      <c r="Q13" s="114"/>
      <c r="R13" s="37"/>
    </row>
    <row r="14" spans="1:18" x14ac:dyDescent="0.25">
      <c r="A14" s="103" t="s">
        <v>95</v>
      </c>
      <c r="B14" s="13" t="s">
        <v>61</v>
      </c>
      <c r="C14" s="13" t="s">
        <v>97</v>
      </c>
      <c r="D14" s="13" t="s">
        <v>96</v>
      </c>
      <c r="E14" s="14">
        <v>45551</v>
      </c>
      <c r="F14" s="26">
        <v>2340.77</v>
      </c>
      <c r="G14" s="27">
        <f>2340.77</f>
        <v>2340.77</v>
      </c>
      <c r="H14" s="27"/>
      <c r="I14" s="28"/>
      <c r="J14" s="27"/>
      <c r="K14" s="19"/>
      <c r="L14" s="19">
        <v>187.89</v>
      </c>
      <c r="M14" s="19">
        <v>0</v>
      </c>
      <c r="N14" s="29">
        <f>1+58.52</f>
        <v>59.52</v>
      </c>
      <c r="O14" s="16">
        <f t="shared" ref="O14:O42" si="0">G14+H14+I14+J14+K14-L14-M14-N14</f>
        <v>2093.36</v>
      </c>
      <c r="P14" s="30">
        <f>942.4+176.4</f>
        <v>1118.8</v>
      </c>
      <c r="Q14" s="29">
        <f>159.53</f>
        <v>159.53</v>
      </c>
      <c r="R14" s="19">
        <f t="shared" ref="R14:R59" si="1">O14+P14-Q14</f>
        <v>3052.6299999999997</v>
      </c>
    </row>
    <row r="15" spans="1:18" x14ac:dyDescent="0.25">
      <c r="A15" s="104"/>
      <c r="B15" s="20"/>
      <c r="C15" s="20"/>
      <c r="D15" s="31" t="s">
        <v>73</v>
      </c>
      <c r="E15" s="21"/>
      <c r="F15" s="32"/>
      <c r="G15" s="33"/>
      <c r="H15" s="33"/>
      <c r="I15" s="28"/>
      <c r="J15" s="33"/>
      <c r="K15" s="34"/>
      <c r="L15" s="34"/>
      <c r="M15" s="34"/>
      <c r="N15" s="35"/>
      <c r="O15" s="23">
        <f t="shared" si="0"/>
        <v>0</v>
      </c>
      <c r="P15" s="36"/>
      <c r="Q15" s="35"/>
      <c r="R15" s="34">
        <f t="shared" si="1"/>
        <v>0</v>
      </c>
    </row>
    <row r="16" spans="1:18" x14ac:dyDescent="0.25">
      <c r="A16" s="104" t="s">
        <v>5</v>
      </c>
      <c r="B16" s="20" t="s">
        <v>63</v>
      </c>
      <c r="C16" s="20" t="s">
        <v>49</v>
      </c>
      <c r="D16" s="13" t="s">
        <v>49</v>
      </c>
      <c r="E16" s="21">
        <v>41445</v>
      </c>
      <c r="F16" s="32">
        <v>2801.68</v>
      </c>
      <c r="G16" s="33">
        <v>2801.68</v>
      </c>
      <c r="H16" s="33"/>
      <c r="I16" s="33"/>
      <c r="J16" s="33"/>
      <c r="K16" s="34"/>
      <c r="L16" s="34">
        <v>229.6</v>
      </c>
      <c r="M16" s="34"/>
      <c r="N16" s="34">
        <f>1+70.04</f>
        <v>71.040000000000006</v>
      </c>
      <c r="O16" s="37">
        <f t="shared" si="0"/>
        <v>2501.04</v>
      </c>
      <c r="P16" s="34">
        <f>942.4+215.6</f>
        <v>1158</v>
      </c>
      <c r="Q16" s="34">
        <v>28.02</v>
      </c>
      <c r="R16" s="25">
        <f t="shared" si="1"/>
        <v>3631.02</v>
      </c>
    </row>
    <row r="17" spans="1:18" x14ac:dyDescent="0.25">
      <c r="A17" s="105" t="s">
        <v>6</v>
      </c>
      <c r="B17" s="13" t="s">
        <v>61</v>
      </c>
      <c r="C17" s="13" t="s">
        <v>51</v>
      </c>
      <c r="D17" s="13" t="s">
        <v>91</v>
      </c>
      <c r="E17" s="14">
        <v>36087</v>
      </c>
      <c r="F17" s="38">
        <v>7431</v>
      </c>
      <c r="G17" s="38">
        <v>7431</v>
      </c>
      <c r="H17" s="123"/>
      <c r="I17" s="15"/>
      <c r="J17" s="123">
        <v>6605.33</v>
      </c>
      <c r="K17" s="121"/>
      <c r="L17" s="18">
        <f>849.92+734.33</f>
        <v>1584.25</v>
      </c>
      <c r="M17" s="18">
        <f>901.07+932.85</f>
        <v>1833.92</v>
      </c>
      <c r="N17" s="39">
        <f>1+157.05</f>
        <v>158.05000000000001</v>
      </c>
      <c r="O17" s="16">
        <f t="shared" si="0"/>
        <v>10460.11</v>
      </c>
      <c r="P17" s="30">
        <f>942.4+3302.67</f>
        <v>4245.07</v>
      </c>
      <c r="Q17" s="29">
        <f>74.31</f>
        <v>74.31</v>
      </c>
      <c r="R17" s="19">
        <f t="shared" si="1"/>
        <v>14630.87</v>
      </c>
    </row>
    <row r="18" spans="1:18" x14ac:dyDescent="0.25">
      <c r="A18" s="40"/>
      <c r="B18" s="40"/>
      <c r="C18" s="40"/>
      <c r="D18" s="20" t="s">
        <v>72</v>
      </c>
      <c r="E18" s="41"/>
      <c r="F18" s="42"/>
      <c r="G18" s="42"/>
      <c r="H18" s="124"/>
      <c r="I18" s="22"/>
      <c r="J18" s="124"/>
      <c r="K18" s="122"/>
      <c r="L18" s="43"/>
      <c r="M18" s="43"/>
      <c r="N18" s="44"/>
      <c r="O18" s="23">
        <f t="shared" si="0"/>
        <v>0</v>
      </c>
      <c r="P18" s="36"/>
      <c r="Q18" s="35"/>
      <c r="R18" s="34">
        <f t="shared" si="1"/>
        <v>0</v>
      </c>
    </row>
    <row r="19" spans="1:18" x14ac:dyDescent="0.25">
      <c r="A19" s="106" t="s">
        <v>7</v>
      </c>
      <c r="B19" s="45" t="s">
        <v>61</v>
      </c>
      <c r="C19" s="45" t="s">
        <v>52</v>
      </c>
      <c r="D19" s="20" t="s">
        <v>52</v>
      </c>
      <c r="E19" s="46">
        <v>41218</v>
      </c>
      <c r="F19" s="47">
        <v>1996.2</v>
      </c>
      <c r="G19" s="48">
        <v>1996.2</v>
      </c>
      <c r="H19" s="48">
        <f>99.81+159.7</f>
        <v>259.51</v>
      </c>
      <c r="I19" s="48">
        <v>0</v>
      </c>
      <c r="J19" s="48"/>
      <c r="K19" s="49"/>
      <c r="L19" s="49">
        <v>180.24</v>
      </c>
      <c r="M19" s="49"/>
      <c r="N19" s="49">
        <f>1</f>
        <v>1</v>
      </c>
      <c r="O19" s="37">
        <f t="shared" si="0"/>
        <v>2074.4700000000003</v>
      </c>
      <c r="P19" s="49">
        <f>942.4</f>
        <v>942.4</v>
      </c>
      <c r="Q19" s="49">
        <f>332.54+19.96</f>
        <v>352.5</v>
      </c>
      <c r="R19" s="25">
        <f t="shared" si="1"/>
        <v>2664.3700000000003</v>
      </c>
    </row>
    <row r="20" spans="1:18" x14ac:dyDescent="0.25">
      <c r="A20" s="106" t="s">
        <v>8</v>
      </c>
      <c r="B20" s="45" t="s">
        <v>61</v>
      </c>
      <c r="C20" s="45" t="s">
        <v>52</v>
      </c>
      <c r="D20" s="45" t="s">
        <v>52</v>
      </c>
      <c r="E20" s="46">
        <v>41548</v>
      </c>
      <c r="F20" s="47">
        <v>1938.06</v>
      </c>
      <c r="G20" s="48">
        <v>969.03</v>
      </c>
      <c r="H20" s="48">
        <f>48.45+77.52+668.42</f>
        <v>794.39</v>
      </c>
      <c r="I20" s="48">
        <v>0</v>
      </c>
      <c r="J20" s="48"/>
      <c r="K20" s="49"/>
      <c r="L20" s="49">
        <v>180.69</v>
      </c>
      <c r="M20" s="49">
        <v>0</v>
      </c>
      <c r="N20" s="49">
        <f>1+24.23</f>
        <v>25.23</v>
      </c>
      <c r="O20" s="16">
        <f t="shared" si="0"/>
        <v>1557.5</v>
      </c>
      <c r="P20" s="49">
        <f>942.4+205.8</f>
        <v>1148.2</v>
      </c>
      <c r="Q20" s="49">
        <f>19.38</f>
        <v>19.38</v>
      </c>
      <c r="R20" s="19">
        <f t="shared" si="1"/>
        <v>2686.3199999999997</v>
      </c>
    </row>
    <row r="21" spans="1:18" x14ac:dyDescent="0.25">
      <c r="A21" s="106" t="s">
        <v>9</v>
      </c>
      <c r="B21" s="45" t="s">
        <v>61</v>
      </c>
      <c r="C21" s="45" t="s">
        <v>53</v>
      </c>
      <c r="D21" s="45" t="s">
        <v>53</v>
      </c>
      <c r="E21" s="46">
        <v>37865</v>
      </c>
      <c r="F21" s="47">
        <v>6549.45</v>
      </c>
      <c r="G21" s="48">
        <v>6549.45</v>
      </c>
      <c r="H21" s="48">
        <f>327.47+523.96</f>
        <v>851.43000000000006</v>
      </c>
      <c r="I21" s="48"/>
      <c r="J21" s="50">
        <v>5180.62</v>
      </c>
      <c r="K21" s="49"/>
      <c r="L21" s="49">
        <f>845.7+534.87</f>
        <v>1380.5700000000002</v>
      </c>
      <c r="M21" s="49">
        <f>893.94+353.53</f>
        <v>1247.47</v>
      </c>
      <c r="N21" s="49">
        <f>1+163.74</f>
        <v>164.74</v>
      </c>
      <c r="O21" s="16">
        <f t="shared" si="0"/>
        <v>9788.7200000000012</v>
      </c>
      <c r="P21" s="49">
        <f>942.4+256.8</f>
        <v>1199.2</v>
      </c>
      <c r="Q21" s="49">
        <f>65.49</f>
        <v>65.489999999999995</v>
      </c>
      <c r="R21" s="19">
        <f t="shared" si="1"/>
        <v>10922.430000000002</v>
      </c>
    </row>
    <row r="22" spans="1:18" x14ac:dyDescent="0.25">
      <c r="A22" s="106" t="s">
        <v>10</v>
      </c>
      <c r="B22" s="45" t="s">
        <v>61</v>
      </c>
      <c r="C22" s="45" t="s">
        <v>49</v>
      </c>
      <c r="D22" s="45" t="s">
        <v>80</v>
      </c>
      <c r="E22" s="46">
        <v>41218</v>
      </c>
      <c r="F22" s="47">
        <v>2801.68</v>
      </c>
      <c r="G22" s="48">
        <v>2334.73</v>
      </c>
      <c r="H22" s="48">
        <f>116.74+1114.04</f>
        <v>1230.78</v>
      </c>
      <c r="I22" s="48"/>
      <c r="J22" s="48"/>
      <c r="K22" s="49"/>
      <c r="L22" s="49">
        <v>355.11</v>
      </c>
      <c r="M22" s="49">
        <v>49.59</v>
      </c>
      <c r="N22" s="49">
        <f>1+58.37</f>
        <v>59.37</v>
      </c>
      <c r="O22" s="16">
        <f t="shared" si="0"/>
        <v>3101.44</v>
      </c>
      <c r="P22" s="49">
        <f>942.4+431.2</f>
        <v>1373.6</v>
      </c>
      <c r="Q22" s="49">
        <f>599+121.28+118+213.71+24.44+28.02</f>
        <v>1104.45</v>
      </c>
      <c r="R22" s="19">
        <f t="shared" si="1"/>
        <v>3370.59</v>
      </c>
    </row>
    <row r="23" spans="1:18" x14ac:dyDescent="0.25">
      <c r="A23" s="106" t="s">
        <v>11</v>
      </c>
      <c r="B23" s="45" t="s">
        <v>64</v>
      </c>
      <c r="C23" s="45" t="s">
        <v>50</v>
      </c>
      <c r="D23" s="45" t="s">
        <v>50</v>
      </c>
      <c r="E23" s="46">
        <v>38908</v>
      </c>
      <c r="F23" s="47">
        <v>6856.52</v>
      </c>
      <c r="G23" s="48">
        <v>5942.32</v>
      </c>
      <c r="H23" s="48">
        <f>297.12+475.39</f>
        <v>772.51</v>
      </c>
      <c r="I23" s="48"/>
      <c r="J23" s="48">
        <v>0</v>
      </c>
      <c r="K23" s="49"/>
      <c r="L23" s="49">
        <v>761.35</v>
      </c>
      <c r="M23" s="49">
        <v>676.34</v>
      </c>
      <c r="N23" s="51">
        <f>1+251.28</f>
        <v>252.28</v>
      </c>
      <c r="O23" s="16">
        <f t="shared" si="0"/>
        <v>5024.8599999999997</v>
      </c>
      <c r="P23" s="49">
        <v>942.4</v>
      </c>
      <c r="Q23" s="49">
        <f>295.12+460.21+109.96+68.57</f>
        <v>933.8599999999999</v>
      </c>
      <c r="R23" s="19">
        <f t="shared" si="1"/>
        <v>5033.3999999999996</v>
      </c>
    </row>
    <row r="24" spans="1:18" x14ac:dyDescent="0.25">
      <c r="A24" s="103" t="s">
        <v>12</v>
      </c>
      <c r="B24" s="13" t="s">
        <v>61</v>
      </c>
      <c r="C24" s="13" t="s">
        <v>49</v>
      </c>
      <c r="D24" s="13" t="s">
        <v>49</v>
      </c>
      <c r="E24" s="14">
        <v>35916</v>
      </c>
      <c r="F24" s="26">
        <v>3765.23</v>
      </c>
      <c r="G24" s="27">
        <v>3765.23</v>
      </c>
      <c r="H24" s="27">
        <f>225.91+188.26+301.22</f>
        <v>715.39</v>
      </c>
      <c r="I24" s="27"/>
      <c r="J24" s="27"/>
      <c r="K24" s="19"/>
      <c r="L24" s="19">
        <v>436.87</v>
      </c>
      <c r="M24" s="19">
        <v>155.53</v>
      </c>
      <c r="N24" s="19">
        <f>1+94.13</f>
        <v>95.13</v>
      </c>
      <c r="O24" s="16">
        <f t="shared" si="0"/>
        <v>3793.0899999999997</v>
      </c>
      <c r="P24" s="19">
        <f>942.4+215.6</f>
        <v>1158</v>
      </c>
      <c r="Q24" s="19">
        <f>798.95+1187.02+54.98+37.65</f>
        <v>2078.6</v>
      </c>
      <c r="R24" s="19">
        <f t="shared" si="1"/>
        <v>2872.4900000000002</v>
      </c>
    </row>
    <row r="25" spans="1:18" x14ac:dyDescent="0.25">
      <c r="A25" s="103" t="s">
        <v>13</v>
      </c>
      <c r="B25" s="13" t="s">
        <v>61</v>
      </c>
      <c r="C25" s="13" t="s">
        <v>54</v>
      </c>
      <c r="D25" s="52" t="s">
        <v>81</v>
      </c>
      <c r="E25" s="14">
        <v>41737</v>
      </c>
      <c r="F25" s="26">
        <v>7885.99</v>
      </c>
      <c r="G25" s="27">
        <v>7885.99</v>
      </c>
      <c r="H25" s="53">
        <f>394.3+788.6+3901.27</f>
        <v>5084.17</v>
      </c>
      <c r="I25" s="54"/>
      <c r="J25" s="27">
        <v>3022.96</v>
      </c>
      <c r="K25" s="19"/>
      <c r="L25" s="19">
        <f>951.62+256.15</f>
        <v>1207.77</v>
      </c>
      <c r="M25" s="19">
        <v>2292.09</v>
      </c>
      <c r="N25" s="29">
        <f>1</f>
        <v>1</v>
      </c>
      <c r="O25" s="16">
        <f t="shared" si="0"/>
        <v>12492.259999999998</v>
      </c>
      <c r="P25" s="30">
        <f>942.4</f>
        <v>942.4</v>
      </c>
      <c r="Q25" s="29">
        <v>2893.54</v>
      </c>
      <c r="R25" s="19">
        <f t="shared" si="1"/>
        <v>10541.119999999999</v>
      </c>
    </row>
    <row r="26" spans="1:18" x14ac:dyDescent="0.25">
      <c r="A26" s="104"/>
      <c r="B26" s="20"/>
      <c r="C26" s="20"/>
      <c r="D26" s="55" t="s">
        <v>72</v>
      </c>
      <c r="E26" s="21"/>
      <c r="F26" s="32"/>
      <c r="G26" s="33"/>
      <c r="H26" s="56"/>
      <c r="I26" s="57"/>
      <c r="J26" s="33"/>
      <c r="K26" s="34"/>
      <c r="L26" s="34"/>
      <c r="M26" s="34"/>
      <c r="N26" s="35"/>
      <c r="O26" s="23">
        <f t="shared" si="0"/>
        <v>0</v>
      </c>
      <c r="P26" s="36"/>
      <c r="Q26" s="35"/>
      <c r="R26" s="34">
        <f t="shared" si="1"/>
        <v>0</v>
      </c>
    </row>
    <row r="27" spans="1:18" x14ac:dyDescent="0.25">
      <c r="A27" s="107" t="s">
        <v>14</v>
      </c>
      <c r="B27" s="20" t="s">
        <v>61</v>
      </c>
      <c r="C27" s="58" t="s">
        <v>55</v>
      </c>
      <c r="D27" s="58" t="s">
        <v>82</v>
      </c>
      <c r="E27" s="59">
        <v>42559</v>
      </c>
      <c r="F27" s="60">
        <v>4900.01</v>
      </c>
      <c r="G27" s="61">
        <v>2613.34</v>
      </c>
      <c r="H27" s="61">
        <v>712.99</v>
      </c>
      <c r="I27" s="61"/>
      <c r="J27" s="61"/>
      <c r="K27" s="34"/>
      <c r="L27" s="34">
        <v>443.51</v>
      </c>
      <c r="M27" s="34">
        <v>19.829999999999998</v>
      </c>
      <c r="N27" s="34">
        <f>1+65.33+62.82</f>
        <v>129.15</v>
      </c>
      <c r="O27" s="37">
        <f t="shared" si="0"/>
        <v>2733.8399999999997</v>
      </c>
      <c r="P27" s="34">
        <f>942.4+284</f>
        <v>1226.4000000000001</v>
      </c>
      <c r="Q27" s="34">
        <f>822+502.83+76.09+49</f>
        <v>1449.9199999999998</v>
      </c>
      <c r="R27" s="49">
        <f t="shared" si="1"/>
        <v>2510.3199999999997</v>
      </c>
    </row>
    <row r="28" spans="1:18" x14ac:dyDescent="0.25">
      <c r="A28" s="105" t="s">
        <v>15</v>
      </c>
      <c r="B28" s="13" t="s">
        <v>61</v>
      </c>
      <c r="C28" s="13" t="s">
        <v>56</v>
      </c>
      <c r="D28" s="13" t="s">
        <v>56</v>
      </c>
      <c r="E28" s="14">
        <v>36951</v>
      </c>
      <c r="F28" s="38">
        <v>4741.58</v>
      </c>
      <c r="G28" s="38">
        <v>4741.58</v>
      </c>
      <c r="H28" s="38">
        <f>284.49</f>
        <v>284.49</v>
      </c>
      <c r="I28" s="38"/>
      <c r="J28" s="27"/>
      <c r="K28" s="121"/>
      <c r="L28" s="18">
        <v>513.23</v>
      </c>
      <c r="M28" s="18">
        <v>318.76</v>
      </c>
      <c r="N28" s="29">
        <v>0</v>
      </c>
      <c r="O28" s="16">
        <f t="shared" si="0"/>
        <v>4194.08</v>
      </c>
      <c r="P28" s="62"/>
      <c r="Q28" s="29">
        <f>538.56+1086.43+109.96+47.42</f>
        <v>1782.3700000000001</v>
      </c>
      <c r="R28" s="25">
        <f t="shared" si="1"/>
        <v>2411.71</v>
      </c>
    </row>
    <row r="29" spans="1:18" x14ac:dyDescent="0.25">
      <c r="A29" s="40"/>
      <c r="B29" s="40"/>
      <c r="C29" s="40"/>
      <c r="D29" s="20"/>
      <c r="E29" s="41"/>
      <c r="F29" s="42"/>
      <c r="G29" s="42"/>
      <c r="H29" s="42"/>
      <c r="I29" s="42"/>
      <c r="J29" s="33"/>
      <c r="K29" s="122"/>
      <c r="L29" s="43"/>
      <c r="M29" s="43"/>
      <c r="N29" s="34"/>
      <c r="O29" s="23">
        <f t="shared" si="0"/>
        <v>0</v>
      </c>
      <c r="P29" s="43"/>
      <c r="Q29" s="35"/>
      <c r="R29" s="34"/>
    </row>
    <row r="30" spans="1:18" x14ac:dyDescent="0.25">
      <c r="A30" s="104" t="s">
        <v>16</v>
      </c>
      <c r="B30" s="20" t="s">
        <v>64</v>
      </c>
      <c r="C30" s="20" t="s">
        <v>49</v>
      </c>
      <c r="D30" s="20" t="s">
        <v>49</v>
      </c>
      <c r="E30" s="21">
        <v>35827</v>
      </c>
      <c r="F30" s="32">
        <v>3765.23</v>
      </c>
      <c r="G30" s="33">
        <v>2635.66</v>
      </c>
      <c r="H30" s="33"/>
      <c r="I30" s="33"/>
      <c r="J30" s="33"/>
      <c r="K30" s="34"/>
      <c r="L30" s="34">
        <v>260.43</v>
      </c>
      <c r="M30" s="34">
        <v>0</v>
      </c>
      <c r="N30" s="34">
        <f>1</f>
        <v>1</v>
      </c>
      <c r="O30" s="37">
        <f t="shared" si="0"/>
        <v>2374.23</v>
      </c>
      <c r="P30" s="34">
        <v>942.4</v>
      </c>
      <c r="Q30" s="34">
        <f>656.5+37.65</f>
        <v>694.15</v>
      </c>
      <c r="R30" s="25">
        <f t="shared" si="1"/>
        <v>2622.48</v>
      </c>
    </row>
    <row r="31" spans="1:18" x14ac:dyDescent="0.25">
      <c r="A31" s="106" t="s">
        <v>17</v>
      </c>
      <c r="B31" s="45" t="s">
        <v>61</v>
      </c>
      <c r="C31" s="45" t="s">
        <v>51</v>
      </c>
      <c r="D31" s="45" t="s">
        <v>51</v>
      </c>
      <c r="E31" s="46">
        <v>38831</v>
      </c>
      <c r="F31" s="47">
        <v>2995.63</v>
      </c>
      <c r="G31" s="48">
        <v>2995.63</v>
      </c>
      <c r="H31" s="48"/>
      <c r="I31" s="48"/>
      <c r="J31" s="48"/>
      <c r="K31" s="49"/>
      <c r="L31" s="49">
        <v>252.88</v>
      </c>
      <c r="M31" s="49">
        <v>0</v>
      </c>
      <c r="N31" s="49">
        <f>1+74.89</f>
        <v>75.89</v>
      </c>
      <c r="O31" s="16">
        <f t="shared" si="0"/>
        <v>2666.86</v>
      </c>
      <c r="P31" s="49">
        <f>942.4+215.6</f>
        <v>1158</v>
      </c>
      <c r="Q31" s="49">
        <f>701.52+54.98+29.96</f>
        <v>786.46</v>
      </c>
      <c r="R31" s="19">
        <f t="shared" si="1"/>
        <v>3038.4</v>
      </c>
    </row>
    <row r="32" spans="1:18" x14ac:dyDescent="0.25">
      <c r="A32" s="103" t="s">
        <v>18</v>
      </c>
      <c r="B32" s="13" t="s">
        <v>61</v>
      </c>
      <c r="C32" s="13" t="s">
        <v>54</v>
      </c>
      <c r="D32" s="13" t="s">
        <v>84</v>
      </c>
      <c r="E32" s="14">
        <v>41436</v>
      </c>
      <c r="F32" s="26">
        <v>6091.92</v>
      </c>
      <c r="G32" s="27">
        <v>6091.92</v>
      </c>
      <c r="H32" s="27">
        <f>304.6+487.35+2228.09</f>
        <v>3020.04</v>
      </c>
      <c r="I32" s="48"/>
      <c r="J32" s="27"/>
      <c r="K32" s="19"/>
      <c r="L32" s="19">
        <v>951.62</v>
      </c>
      <c r="M32" s="19">
        <v>1231.0899999999999</v>
      </c>
      <c r="N32" s="19">
        <f>1+152.3</f>
        <v>153.30000000000001</v>
      </c>
      <c r="O32" s="16">
        <f t="shared" si="0"/>
        <v>6775.9499999999989</v>
      </c>
      <c r="P32" s="19">
        <f>942.4+1924</f>
        <v>2866.4</v>
      </c>
      <c r="Q32" s="19">
        <f>416.14+801.83+24.44+60.92</f>
        <v>1303.3300000000002</v>
      </c>
      <c r="R32" s="19">
        <f t="shared" si="1"/>
        <v>8339.0199999999986</v>
      </c>
    </row>
    <row r="33" spans="1:18" x14ac:dyDescent="0.25">
      <c r="A33" s="108" t="s">
        <v>92</v>
      </c>
      <c r="B33" s="66" t="s">
        <v>61</v>
      </c>
      <c r="C33" s="66" t="s">
        <v>93</v>
      </c>
      <c r="D33" s="66" t="s">
        <v>94</v>
      </c>
      <c r="E33" s="67">
        <v>45512</v>
      </c>
      <c r="F33" s="68">
        <v>3901.28</v>
      </c>
      <c r="G33" s="53">
        <v>3901.28</v>
      </c>
      <c r="H33" s="27"/>
      <c r="I33" s="69"/>
      <c r="J33" s="53">
        <v>2167.38</v>
      </c>
      <c r="K33" s="19"/>
      <c r="L33" s="19">
        <f>361.55+172.29</f>
        <v>533.84</v>
      </c>
      <c r="M33" s="19">
        <v>99.95</v>
      </c>
      <c r="N33" s="29">
        <f>1+97.53</f>
        <v>98.53</v>
      </c>
      <c r="O33" s="16">
        <f t="shared" si="0"/>
        <v>5336.34</v>
      </c>
      <c r="P33" s="30">
        <f>942.4+9.8+1733.91</f>
        <v>2686.11</v>
      </c>
      <c r="Q33" s="29">
        <f>596.77+36.65+198.92</f>
        <v>832.33999999999992</v>
      </c>
      <c r="R33" s="19">
        <f t="shared" si="1"/>
        <v>7190.1100000000006</v>
      </c>
    </row>
    <row r="34" spans="1:18" x14ac:dyDescent="0.25">
      <c r="A34" s="109"/>
      <c r="B34" s="31"/>
      <c r="C34" s="31"/>
      <c r="D34" s="31" t="s">
        <v>73</v>
      </c>
      <c r="E34" s="70"/>
      <c r="F34" s="71"/>
      <c r="G34" s="56"/>
      <c r="H34" s="33"/>
      <c r="I34" s="69"/>
      <c r="J34" s="56"/>
      <c r="K34" s="34"/>
      <c r="L34" s="34"/>
      <c r="M34" s="34"/>
      <c r="N34" s="35"/>
      <c r="O34" s="23">
        <f t="shared" si="0"/>
        <v>0</v>
      </c>
      <c r="P34" s="36"/>
      <c r="Q34" s="35"/>
      <c r="R34" s="34">
        <f t="shared" si="1"/>
        <v>0</v>
      </c>
    </row>
    <row r="35" spans="1:18" x14ac:dyDescent="0.25">
      <c r="A35" s="104" t="s">
        <v>19</v>
      </c>
      <c r="B35" s="20" t="s">
        <v>64</v>
      </c>
      <c r="C35" s="20" t="s">
        <v>50</v>
      </c>
      <c r="D35" s="20" t="s">
        <v>50</v>
      </c>
      <c r="E35" s="21">
        <v>41708</v>
      </c>
      <c r="F35" s="32">
        <v>7885.99</v>
      </c>
      <c r="G35" s="33">
        <v>7885.99</v>
      </c>
      <c r="H35" s="33">
        <v>630.88</v>
      </c>
      <c r="I35" s="48"/>
      <c r="J35" s="33"/>
      <c r="K35" s="34"/>
      <c r="L35" s="34">
        <v>951.62</v>
      </c>
      <c r="M35" s="34">
        <v>1067.44</v>
      </c>
      <c r="N35" s="34">
        <f>1+157.05</f>
        <v>158.05000000000001</v>
      </c>
      <c r="O35" s="37">
        <f t="shared" si="0"/>
        <v>6339.7599999999993</v>
      </c>
      <c r="P35" s="34">
        <f>942.4</f>
        <v>942.4</v>
      </c>
      <c r="Q35" s="34">
        <f>1523.06+407.79+78.86</f>
        <v>2009.7099999999998</v>
      </c>
      <c r="R35" s="25">
        <f t="shared" si="1"/>
        <v>5272.4499999999989</v>
      </c>
    </row>
    <row r="36" spans="1:18" x14ac:dyDescent="0.25">
      <c r="A36" s="110" t="s">
        <v>20</v>
      </c>
      <c r="B36" s="45" t="s">
        <v>61</v>
      </c>
      <c r="C36" s="72" t="s">
        <v>57</v>
      </c>
      <c r="D36" s="72" t="s">
        <v>57</v>
      </c>
      <c r="E36" s="73">
        <v>41830</v>
      </c>
      <c r="F36" s="74">
        <v>7885.99</v>
      </c>
      <c r="G36" s="75">
        <v>7885.99</v>
      </c>
      <c r="H36" s="75">
        <f>394.3+630.88</f>
        <v>1025.18</v>
      </c>
      <c r="I36" s="75"/>
      <c r="J36" s="75"/>
      <c r="K36" s="49"/>
      <c r="L36" s="49">
        <v>951.62</v>
      </c>
      <c r="M36" s="49">
        <v>1123.73</v>
      </c>
      <c r="N36" s="49">
        <f>1</f>
        <v>1</v>
      </c>
      <c r="O36" s="16">
        <f t="shared" si="0"/>
        <v>6834.82</v>
      </c>
      <c r="P36" s="49">
        <f>942.4</f>
        <v>942.4</v>
      </c>
      <c r="Q36" s="49">
        <f>673.95+1647.13+104.39+78.86</f>
        <v>2504.33</v>
      </c>
      <c r="R36" s="19">
        <f t="shared" si="1"/>
        <v>5272.8899999999994</v>
      </c>
    </row>
    <row r="37" spans="1:18" x14ac:dyDescent="0.25">
      <c r="A37" s="106" t="s">
        <v>21</v>
      </c>
      <c r="B37" s="45" t="s">
        <v>63</v>
      </c>
      <c r="C37" s="45" t="s">
        <v>50</v>
      </c>
      <c r="D37" s="13" t="s">
        <v>50</v>
      </c>
      <c r="E37" s="46">
        <v>39022</v>
      </c>
      <c r="F37" s="47">
        <v>6856.52</v>
      </c>
      <c r="G37" s="48">
        <v>6856.52</v>
      </c>
      <c r="H37" s="48">
        <v>548.52</v>
      </c>
      <c r="I37" s="48"/>
      <c r="J37" s="48">
        <v>4443.0200000000004</v>
      </c>
      <c r="K37" s="49"/>
      <c r="L37" s="49">
        <f>846.28+431.6</f>
        <v>1277.8800000000001</v>
      </c>
      <c r="M37" s="49">
        <f>790.65+150.68</f>
        <v>941.32999999999993</v>
      </c>
      <c r="N37" s="49">
        <f>1+188.46</f>
        <v>189.46</v>
      </c>
      <c r="O37" s="16">
        <f t="shared" si="0"/>
        <v>9439.3900000000012</v>
      </c>
      <c r="P37" s="49">
        <f>942.4</f>
        <v>942.4</v>
      </c>
      <c r="Q37" s="49">
        <v>68.569999999999993</v>
      </c>
      <c r="R37" s="19">
        <f t="shared" si="1"/>
        <v>10313.220000000001</v>
      </c>
    </row>
    <row r="38" spans="1:18" x14ac:dyDescent="0.25">
      <c r="A38" s="105" t="s">
        <v>22</v>
      </c>
      <c r="B38" s="13" t="s">
        <v>61</v>
      </c>
      <c r="C38" s="66" t="s">
        <v>71</v>
      </c>
      <c r="D38" s="13" t="s">
        <v>85</v>
      </c>
      <c r="E38" s="76">
        <v>44565</v>
      </c>
      <c r="F38" s="38">
        <v>7802.54</v>
      </c>
      <c r="G38" s="38">
        <v>3901.27</v>
      </c>
      <c r="H38" s="123"/>
      <c r="I38" s="15"/>
      <c r="J38" s="123"/>
      <c r="K38" s="121"/>
      <c r="L38" s="18">
        <v>533.72</v>
      </c>
      <c r="M38" s="18">
        <v>99.95</v>
      </c>
      <c r="N38" s="39">
        <f>1</f>
        <v>1</v>
      </c>
      <c r="O38" s="16">
        <f t="shared" si="0"/>
        <v>3266.6000000000004</v>
      </c>
      <c r="P38" s="30">
        <f>942.4</f>
        <v>942.4</v>
      </c>
      <c r="Q38" s="131"/>
      <c r="R38" s="19">
        <f t="shared" si="1"/>
        <v>4209</v>
      </c>
    </row>
    <row r="39" spans="1:18" x14ac:dyDescent="0.25">
      <c r="A39" s="63"/>
      <c r="B39" s="63"/>
      <c r="C39" s="78"/>
      <c r="D39" s="24" t="s">
        <v>73</v>
      </c>
      <c r="E39" s="79"/>
      <c r="F39" s="64"/>
      <c r="G39" s="64"/>
      <c r="H39" s="133"/>
      <c r="I39" s="80"/>
      <c r="J39" s="133"/>
      <c r="K39" s="134"/>
      <c r="L39" s="65"/>
      <c r="M39" s="65"/>
      <c r="N39" s="81"/>
      <c r="O39" s="23">
        <f t="shared" si="0"/>
        <v>0</v>
      </c>
      <c r="P39" s="82"/>
      <c r="Q39" s="132"/>
      <c r="R39" s="25">
        <f t="shared" si="1"/>
        <v>0</v>
      </c>
    </row>
    <row r="40" spans="1:18" x14ac:dyDescent="0.25">
      <c r="A40" s="111" t="s">
        <v>78</v>
      </c>
      <c r="B40" s="13" t="s">
        <v>61</v>
      </c>
      <c r="C40" s="83" t="s">
        <v>57</v>
      </c>
      <c r="D40" s="52" t="s">
        <v>86</v>
      </c>
      <c r="E40" s="67">
        <v>45475</v>
      </c>
      <c r="F40" s="84">
        <v>7802.54</v>
      </c>
      <c r="G40" s="38">
        <v>7802.54</v>
      </c>
      <c r="H40" s="15"/>
      <c r="I40" s="85"/>
      <c r="J40" s="86"/>
      <c r="K40" s="16"/>
      <c r="L40" s="18">
        <v>901.93</v>
      </c>
      <c r="M40" s="18">
        <v>988.94</v>
      </c>
      <c r="N40" s="39">
        <f>1</f>
        <v>1</v>
      </c>
      <c r="O40" s="37">
        <f t="shared" si="0"/>
        <v>5910.67</v>
      </c>
      <c r="P40" s="30">
        <v>942.4</v>
      </c>
      <c r="Q40" s="87"/>
      <c r="R40" s="19">
        <f t="shared" si="1"/>
        <v>6853.07</v>
      </c>
    </row>
    <row r="41" spans="1:18" x14ac:dyDescent="0.25">
      <c r="A41" s="112"/>
      <c r="B41" s="20"/>
      <c r="C41" s="58"/>
      <c r="D41" s="55" t="s">
        <v>73</v>
      </c>
      <c r="E41" s="70"/>
      <c r="F41" s="88"/>
      <c r="G41" s="42"/>
      <c r="H41" s="22"/>
      <c r="I41" s="89"/>
      <c r="J41" s="90"/>
      <c r="K41" s="23"/>
      <c r="L41" s="43"/>
      <c r="M41" s="43"/>
      <c r="N41" s="44"/>
      <c r="O41" s="16">
        <f t="shared" si="0"/>
        <v>0</v>
      </c>
      <c r="P41" s="36"/>
      <c r="Q41" s="91"/>
      <c r="R41" s="34">
        <f t="shared" si="1"/>
        <v>0</v>
      </c>
    </row>
    <row r="42" spans="1:18" x14ac:dyDescent="0.25">
      <c r="A42" s="104" t="s">
        <v>23</v>
      </c>
      <c r="B42" s="20" t="s">
        <v>61</v>
      </c>
      <c r="C42" s="58" t="s">
        <v>57</v>
      </c>
      <c r="D42" s="58" t="s">
        <v>57</v>
      </c>
      <c r="E42" s="21">
        <v>41730</v>
      </c>
      <c r="F42" s="32">
        <v>7885.99</v>
      </c>
      <c r="G42" s="33">
        <v>7885.99</v>
      </c>
      <c r="H42" s="33">
        <f>394.3+630.88</f>
        <v>1025.18</v>
      </c>
      <c r="I42" s="33"/>
      <c r="J42" s="33">
        <v>7921.05</v>
      </c>
      <c r="K42" s="34"/>
      <c r="L42" s="34">
        <f>951.62+918.53</f>
        <v>1870.15</v>
      </c>
      <c r="M42" s="34">
        <f>1280.15+1289.25</f>
        <v>2569.4</v>
      </c>
      <c r="N42" s="34">
        <f>1</f>
        <v>1</v>
      </c>
      <c r="O42" s="16">
        <f t="shared" si="0"/>
        <v>12391.670000000002</v>
      </c>
      <c r="P42" s="34">
        <f>942.4+3960.51</f>
        <v>4902.91</v>
      </c>
      <c r="Q42" s="34">
        <f>1003.3+36.65+668.87</f>
        <v>1708.8200000000002</v>
      </c>
      <c r="R42" s="25">
        <f t="shared" si="1"/>
        <v>15585.760000000002</v>
      </c>
    </row>
    <row r="43" spans="1:18" x14ac:dyDescent="0.25">
      <c r="A43" s="106" t="s">
        <v>24</v>
      </c>
      <c r="B43" s="45" t="s">
        <v>61</v>
      </c>
      <c r="C43" s="45" t="s">
        <v>49</v>
      </c>
      <c r="D43" s="45" t="s">
        <v>49</v>
      </c>
      <c r="E43" s="46">
        <v>41823</v>
      </c>
      <c r="F43" s="47">
        <v>2720.08</v>
      </c>
      <c r="G43" s="48">
        <v>2720.08</v>
      </c>
      <c r="H43" s="48">
        <f>136+217.61</f>
        <v>353.61</v>
      </c>
      <c r="I43" s="48"/>
      <c r="J43" s="48"/>
      <c r="K43" s="49"/>
      <c r="L43" s="49">
        <v>262.24</v>
      </c>
      <c r="M43" s="49">
        <v>2.83</v>
      </c>
      <c r="N43" s="49">
        <f>1+68</f>
        <v>69</v>
      </c>
      <c r="O43" s="16">
        <f t="shared" ref="O43:O60" si="2">G43+H43+I43+J43+K43-L43-M43-N43</f>
        <v>2739.62</v>
      </c>
      <c r="P43" s="49">
        <f>942.4+228.9</f>
        <v>1171.3</v>
      </c>
      <c r="Q43" s="49">
        <v>27.2</v>
      </c>
      <c r="R43" s="19">
        <f t="shared" si="1"/>
        <v>3883.7200000000003</v>
      </c>
    </row>
    <row r="44" spans="1:18" x14ac:dyDescent="0.25">
      <c r="A44" s="106" t="s">
        <v>25</v>
      </c>
      <c r="B44" s="45" t="s">
        <v>61</v>
      </c>
      <c r="C44" s="45" t="s">
        <v>50</v>
      </c>
      <c r="D44" s="45" t="s">
        <v>87</v>
      </c>
      <c r="E44" s="46">
        <v>39295</v>
      </c>
      <c r="F44" s="47">
        <v>9141.7000000000007</v>
      </c>
      <c r="G44" s="48">
        <v>9141.7000000000007</v>
      </c>
      <c r="H44" s="48">
        <f>457.09+731.34+1336.85</f>
        <v>2525.2799999999997</v>
      </c>
      <c r="I44" s="48"/>
      <c r="J44" s="48"/>
      <c r="K44" s="49"/>
      <c r="L44" s="49">
        <v>951.62</v>
      </c>
      <c r="M44" s="49">
        <v>1985.86</v>
      </c>
      <c r="N44" s="49">
        <f>1+31.41</f>
        <v>32.409999999999997</v>
      </c>
      <c r="O44" s="16">
        <f t="shared" si="2"/>
        <v>8697.0899999999983</v>
      </c>
      <c r="P44" s="49">
        <f>942.4</f>
        <v>942.4</v>
      </c>
      <c r="Q44" s="49">
        <f>1793.5+413.5+258.99+634.69+53.15+91.42</f>
        <v>3245.25</v>
      </c>
      <c r="R44" s="19">
        <f t="shared" si="1"/>
        <v>6394.239999999998</v>
      </c>
    </row>
    <row r="45" spans="1:18" x14ac:dyDescent="0.25">
      <c r="A45" s="106" t="s">
        <v>26</v>
      </c>
      <c r="B45" s="45" t="s">
        <v>61</v>
      </c>
      <c r="C45" s="45" t="s">
        <v>58</v>
      </c>
      <c r="D45" s="45" t="s">
        <v>58</v>
      </c>
      <c r="E45" s="46">
        <v>35309</v>
      </c>
      <c r="F45" s="47">
        <v>2697.31</v>
      </c>
      <c r="G45" s="48">
        <v>2697.31</v>
      </c>
      <c r="H45" s="48"/>
      <c r="I45" s="48"/>
      <c r="J45" s="48"/>
      <c r="K45" s="49"/>
      <c r="L45" s="49">
        <v>219.98</v>
      </c>
      <c r="M45" s="49">
        <v>0</v>
      </c>
      <c r="N45" s="49">
        <f>1+67.43</f>
        <v>68.430000000000007</v>
      </c>
      <c r="O45" s="16">
        <f t="shared" si="2"/>
        <v>2408.9</v>
      </c>
      <c r="P45" s="49">
        <f>942.4+404.7</f>
        <v>1347.1</v>
      </c>
      <c r="Q45" s="49">
        <f>378+236+26.97</f>
        <v>640.97</v>
      </c>
      <c r="R45" s="19">
        <f t="shared" si="1"/>
        <v>3115.0299999999997</v>
      </c>
    </row>
    <row r="46" spans="1:18" x14ac:dyDescent="0.25">
      <c r="A46" s="106" t="s">
        <v>27</v>
      </c>
      <c r="B46" s="45" t="s">
        <v>61</v>
      </c>
      <c r="C46" s="45" t="s">
        <v>49</v>
      </c>
      <c r="D46" s="45" t="s">
        <v>88</v>
      </c>
      <c r="E46" s="46">
        <v>35829</v>
      </c>
      <c r="F46" s="47">
        <v>3765.23</v>
      </c>
      <c r="G46" s="48">
        <v>2761.17</v>
      </c>
      <c r="H46" s="48">
        <v>980.36</v>
      </c>
      <c r="I46" s="48"/>
      <c r="J46" s="48"/>
      <c r="K46" s="49"/>
      <c r="L46" s="49">
        <v>480.88</v>
      </c>
      <c r="M46" s="49">
        <v>75.989999999999995</v>
      </c>
      <c r="N46" s="49">
        <f>1+69.03</f>
        <v>70.03</v>
      </c>
      <c r="O46" s="16">
        <f t="shared" si="2"/>
        <v>3114.63</v>
      </c>
      <c r="P46" s="49">
        <f>942.4+186.2</f>
        <v>1128.5999999999999</v>
      </c>
      <c r="Q46" s="49">
        <f>661.39+137.6+407+528.37+3.85+37.65</f>
        <v>1775.8600000000001</v>
      </c>
      <c r="R46" s="19">
        <f t="shared" si="1"/>
        <v>2467.3699999999994</v>
      </c>
    </row>
    <row r="47" spans="1:18" x14ac:dyDescent="0.25">
      <c r="A47" s="106" t="s">
        <v>28</v>
      </c>
      <c r="B47" s="45" t="s">
        <v>61</v>
      </c>
      <c r="C47" s="45" t="s">
        <v>50</v>
      </c>
      <c r="D47" s="13" t="s">
        <v>50</v>
      </c>
      <c r="E47" s="46">
        <v>41505</v>
      </c>
      <c r="F47" s="47">
        <v>6091.92</v>
      </c>
      <c r="G47" s="48">
        <v>6091.92</v>
      </c>
      <c r="H47" s="48">
        <f>304.6+487.35</f>
        <v>791.95</v>
      </c>
      <c r="I47" s="48"/>
      <c r="J47" s="48"/>
      <c r="K47" s="49"/>
      <c r="L47" s="49">
        <v>773.32</v>
      </c>
      <c r="M47" s="49">
        <v>719.53</v>
      </c>
      <c r="N47" s="49">
        <f>1</f>
        <v>1</v>
      </c>
      <c r="O47" s="16">
        <f t="shared" si="2"/>
        <v>5390.02</v>
      </c>
      <c r="P47" s="49">
        <v>942.4</v>
      </c>
      <c r="Q47" s="49">
        <f>60.92</f>
        <v>60.92</v>
      </c>
      <c r="R47" s="19">
        <f t="shared" si="1"/>
        <v>6271.5</v>
      </c>
    </row>
    <row r="48" spans="1:18" x14ac:dyDescent="0.25">
      <c r="A48" s="105" t="s">
        <v>29</v>
      </c>
      <c r="B48" s="13" t="s">
        <v>61</v>
      </c>
      <c r="C48" s="66" t="s">
        <v>59</v>
      </c>
      <c r="D48" s="13" t="s">
        <v>89</v>
      </c>
      <c r="E48" s="14">
        <v>44201</v>
      </c>
      <c r="F48" s="38">
        <v>7431</v>
      </c>
      <c r="G48" s="38">
        <v>7431</v>
      </c>
      <c r="H48" s="123"/>
      <c r="I48" s="15"/>
      <c r="J48" s="123"/>
      <c r="K48" s="121"/>
      <c r="L48" s="18">
        <v>711.21</v>
      </c>
      <c r="M48" s="18">
        <v>614.6</v>
      </c>
      <c r="N48" s="39">
        <f>1+62.82</f>
        <v>63.82</v>
      </c>
      <c r="O48" s="16">
        <f t="shared" si="2"/>
        <v>6041.37</v>
      </c>
      <c r="P48" s="30">
        <f>942.4</f>
        <v>942.4</v>
      </c>
      <c r="Q48" s="125">
        <f>395.81+73.3+990.8+125.65</f>
        <v>1585.56</v>
      </c>
      <c r="R48" s="19">
        <f t="shared" si="1"/>
        <v>5398.2099999999991</v>
      </c>
    </row>
    <row r="49" spans="1:18" x14ac:dyDescent="0.25">
      <c r="A49" s="40"/>
      <c r="B49" s="40"/>
      <c r="C49" s="92"/>
      <c r="D49" s="24" t="s">
        <v>73</v>
      </c>
      <c r="E49" s="41"/>
      <c r="F49" s="42"/>
      <c r="G49" s="42"/>
      <c r="H49" s="124"/>
      <c r="I49" s="22"/>
      <c r="J49" s="124"/>
      <c r="K49" s="122"/>
      <c r="L49" s="43"/>
      <c r="M49" s="43"/>
      <c r="N49" s="44"/>
      <c r="O49" s="23">
        <f t="shared" si="2"/>
        <v>0</v>
      </c>
      <c r="P49" s="36"/>
      <c r="Q49" s="126"/>
      <c r="R49" s="34">
        <f t="shared" si="1"/>
        <v>0</v>
      </c>
    </row>
    <row r="50" spans="1:18" x14ac:dyDescent="0.25">
      <c r="A50" s="106" t="s">
        <v>30</v>
      </c>
      <c r="B50" s="45" t="s">
        <v>61</v>
      </c>
      <c r="C50" s="45" t="s">
        <v>49</v>
      </c>
      <c r="D50" s="45" t="s">
        <v>49</v>
      </c>
      <c r="E50" s="46">
        <v>33581</v>
      </c>
      <c r="F50" s="47">
        <v>3765.23</v>
      </c>
      <c r="G50" s="48">
        <v>3765.23</v>
      </c>
      <c r="H50" s="48"/>
      <c r="I50" s="48"/>
      <c r="J50" s="48"/>
      <c r="K50" s="49"/>
      <c r="L50" s="49">
        <v>345.23</v>
      </c>
      <c r="M50" s="49">
        <v>79.540000000000006</v>
      </c>
      <c r="N50" s="49">
        <f>1+94.13</f>
        <v>95.13</v>
      </c>
      <c r="O50" s="37">
        <f t="shared" si="2"/>
        <v>3245.33</v>
      </c>
      <c r="P50" s="49">
        <f>942.4+215.6</f>
        <v>1158</v>
      </c>
      <c r="Q50" s="49">
        <f>701.52+42.52+37.65</f>
        <v>781.68999999999994</v>
      </c>
      <c r="R50" s="25">
        <f t="shared" si="1"/>
        <v>3621.64</v>
      </c>
    </row>
    <row r="51" spans="1:18" x14ac:dyDescent="0.25">
      <c r="A51" s="106" t="s">
        <v>31</v>
      </c>
      <c r="B51" s="45" t="s">
        <v>61</v>
      </c>
      <c r="C51" s="45" t="s">
        <v>49</v>
      </c>
      <c r="D51" s="45" t="s">
        <v>60</v>
      </c>
      <c r="E51" s="46">
        <v>35339</v>
      </c>
      <c r="F51" s="47">
        <v>3765.23</v>
      </c>
      <c r="G51" s="48">
        <v>3765.23</v>
      </c>
      <c r="H51" s="48">
        <v>1336.85</v>
      </c>
      <c r="I51" s="48"/>
      <c r="J51" s="48"/>
      <c r="K51" s="49"/>
      <c r="L51" s="49">
        <v>523.87</v>
      </c>
      <c r="M51" s="49">
        <v>335.86</v>
      </c>
      <c r="N51" s="49">
        <f>1+94.13</f>
        <v>95.13</v>
      </c>
      <c r="O51" s="16">
        <f t="shared" si="2"/>
        <v>4147.22</v>
      </c>
      <c r="P51" s="49">
        <f>942.4+213.4</f>
        <v>1155.8</v>
      </c>
      <c r="Q51" s="49">
        <f>875.99+141.99+195+37.65</f>
        <v>1250.6300000000001</v>
      </c>
      <c r="R51" s="19">
        <f t="shared" si="1"/>
        <v>4052.3900000000003</v>
      </c>
    </row>
    <row r="52" spans="1:18" x14ac:dyDescent="0.25">
      <c r="A52" s="106" t="s">
        <v>32</v>
      </c>
      <c r="B52" s="45" t="s">
        <v>61</v>
      </c>
      <c r="C52" s="45" t="s">
        <v>49</v>
      </c>
      <c r="D52" s="45" t="s">
        <v>49</v>
      </c>
      <c r="E52" s="46">
        <v>31761</v>
      </c>
      <c r="F52" s="47">
        <v>4627.83</v>
      </c>
      <c r="G52" s="48">
        <v>4627.83</v>
      </c>
      <c r="H52" s="48">
        <f>277.67+231.39</f>
        <v>509.06</v>
      </c>
      <c r="I52" s="48"/>
      <c r="J52" s="48"/>
      <c r="K52" s="49"/>
      <c r="L52" s="49">
        <v>528.74</v>
      </c>
      <c r="M52" s="49">
        <v>318.69</v>
      </c>
      <c r="N52" s="49">
        <f>1+115.7</f>
        <v>116.7</v>
      </c>
      <c r="O52" s="16">
        <f t="shared" si="2"/>
        <v>4172.7600000000011</v>
      </c>
      <c r="P52" s="49">
        <f>942.4+215.6</f>
        <v>1158</v>
      </c>
      <c r="Q52" s="49">
        <f>346.36+175.78+67.2+46.28</f>
        <v>635.62</v>
      </c>
      <c r="R52" s="19">
        <f t="shared" si="1"/>
        <v>4695.1400000000012</v>
      </c>
    </row>
    <row r="53" spans="1:18" x14ac:dyDescent="0.25">
      <c r="A53" s="106" t="s">
        <v>33</v>
      </c>
      <c r="B53" s="45" t="s">
        <v>61</v>
      </c>
      <c r="C53" s="45" t="s">
        <v>49</v>
      </c>
      <c r="D53" s="45" t="s">
        <v>49</v>
      </c>
      <c r="E53" s="46">
        <v>41218</v>
      </c>
      <c r="F53" s="47">
        <v>2801.68</v>
      </c>
      <c r="G53" s="48">
        <v>2801.68</v>
      </c>
      <c r="H53" s="48"/>
      <c r="I53" s="48"/>
      <c r="J53" s="48"/>
      <c r="K53" s="49"/>
      <c r="L53" s="49">
        <v>229.6</v>
      </c>
      <c r="M53" s="49">
        <v>0</v>
      </c>
      <c r="N53" s="49">
        <f>1+70.04</f>
        <v>71.040000000000006</v>
      </c>
      <c r="O53" s="16">
        <f t="shared" si="2"/>
        <v>2501.04</v>
      </c>
      <c r="P53" s="49">
        <f>942.4+215.6</f>
        <v>1158</v>
      </c>
      <c r="Q53" s="49">
        <f>395.81+36.65+28.02</f>
        <v>460.47999999999996</v>
      </c>
      <c r="R53" s="19">
        <f t="shared" si="1"/>
        <v>3198.56</v>
      </c>
    </row>
    <row r="54" spans="1:18" x14ac:dyDescent="0.25">
      <c r="A54" s="106" t="s">
        <v>34</v>
      </c>
      <c r="B54" s="45" t="s">
        <v>61</v>
      </c>
      <c r="C54" s="45" t="s">
        <v>50</v>
      </c>
      <c r="D54" s="45" t="s">
        <v>50</v>
      </c>
      <c r="E54" s="46">
        <v>42982</v>
      </c>
      <c r="F54" s="47">
        <v>5575.02</v>
      </c>
      <c r="G54" s="48">
        <v>5575.02</v>
      </c>
      <c r="H54" s="48">
        <f>278.75+446</f>
        <v>724.75</v>
      </c>
      <c r="I54" s="48"/>
      <c r="J54" s="48">
        <v>8399.69</v>
      </c>
      <c r="K54" s="49"/>
      <c r="L54" s="49">
        <f>691.55+951.62</f>
        <v>1643.17</v>
      </c>
      <c r="M54" s="49">
        <f>633.53+1139.49</f>
        <v>1773.02</v>
      </c>
      <c r="N54" s="49">
        <f>1</f>
        <v>1</v>
      </c>
      <c r="O54" s="16">
        <f t="shared" si="2"/>
        <v>11282.27</v>
      </c>
      <c r="P54" s="49">
        <v>942.4</v>
      </c>
      <c r="Q54" s="49">
        <v>55.75</v>
      </c>
      <c r="R54" s="19">
        <f t="shared" si="1"/>
        <v>12168.92</v>
      </c>
    </row>
    <row r="55" spans="1:18" x14ac:dyDescent="0.25">
      <c r="A55" s="106" t="s">
        <v>35</v>
      </c>
      <c r="B55" s="45" t="s">
        <v>61</v>
      </c>
      <c r="C55" s="45" t="s">
        <v>53</v>
      </c>
      <c r="D55" s="45" t="s">
        <v>53</v>
      </c>
      <c r="E55" s="46">
        <v>41823</v>
      </c>
      <c r="F55" s="47">
        <v>4731.59</v>
      </c>
      <c r="G55" s="48">
        <v>2523.5100000000002</v>
      </c>
      <c r="H55" s="48">
        <f>126.18+201.88</f>
        <v>328.06</v>
      </c>
      <c r="I55" s="48"/>
      <c r="J55" s="48"/>
      <c r="K55" s="49"/>
      <c r="L55" s="49">
        <v>386.52</v>
      </c>
      <c r="M55" s="49">
        <v>0</v>
      </c>
      <c r="N55" s="49">
        <f>1+63.09+94.23</f>
        <v>158.32</v>
      </c>
      <c r="O55" s="16">
        <f t="shared" si="2"/>
        <v>2306.73</v>
      </c>
      <c r="P55" s="49">
        <f>942.4+166.6</f>
        <v>1109</v>
      </c>
      <c r="Q55" s="49">
        <v>47.32</v>
      </c>
      <c r="R55" s="19">
        <f t="shared" si="1"/>
        <v>3368.41</v>
      </c>
    </row>
    <row r="56" spans="1:18" x14ac:dyDescent="0.25">
      <c r="A56" s="106" t="s">
        <v>36</v>
      </c>
      <c r="B56" s="45" t="s">
        <v>61</v>
      </c>
      <c r="C56" s="45" t="s">
        <v>50</v>
      </c>
      <c r="D56" s="13" t="s">
        <v>50</v>
      </c>
      <c r="E56" s="46">
        <v>41708</v>
      </c>
      <c r="F56" s="47">
        <v>5914.48</v>
      </c>
      <c r="G56" s="48">
        <v>5914.48</v>
      </c>
      <c r="H56" s="48">
        <f>295.72+473.16</f>
        <v>768.88000000000011</v>
      </c>
      <c r="I56" s="48"/>
      <c r="J56" s="48"/>
      <c r="K56" s="49"/>
      <c r="L56" s="49">
        <v>0</v>
      </c>
      <c r="M56" s="49">
        <v>762.21</v>
      </c>
      <c r="N56" s="49">
        <f>1</f>
        <v>1</v>
      </c>
      <c r="O56" s="16">
        <f t="shared" si="2"/>
        <v>5920.15</v>
      </c>
      <c r="P56" s="49">
        <v>942.4</v>
      </c>
      <c r="Q56" s="49">
        <f>59.14</f>
        <v>59.14</v>
      </c>
      <c r="R56" s="19">
        <f t="shared" si="1"/>
        <v>6803.4099999999989</v>
      </c>
    </row>
    <row r="57" spans="1:18" x14ac:dyDescent="0.25">
      <c r="A57" s="105" t="s">
        <v>37</v>
      </c>
      <c r="B57" s="13" t="s">
        <v>61</v>
      </c>
      <c r="C57" s="66" t="s">
        <v>50</v>
      </c>
      <c r="D57" s="13" t="s">
        <v>90</v>
      </c>
      <c r="E57" s="76">
        <v>36739</v>
      </c>
      <c r="F57" s="38">
        <v>10289.06</v>
      </c>
      <c r="G57" s="38">
        <v>10289.06</v>
      </c>
      <c r="H57" s="38">
        <f>514.45+3715.5+823.12</f>
        <v>5053.07</v>
      </c>
      <c r="I57" s="38"/>
      <c r="J57" s="38"/>
      <c r="K57" s="121"/>
      <c r="L57" s="19">
        <v>951.62</v>
      </c>
      <c r="M57" s="18">
        <v>3048.66</v>
      </c>
      <c r="N57" s="39">
        <f>1</f>
        <v>1</v>
      </c>
      <c r="O57" s="16">
        <f t="shared" si="2"/>
        <v>11340.849999999999</v>
      </c>
      <c r="P57" s="30">
        <v>942.4</v>
      </c>
      <c r="Q57" s="39">
        <f>102.89</f>
        <v>102.89</v>
      </c>
      <c r="R57" s="19">
        <f t="shared" si="1"/>
        <v>12180.359999999999</v>
      </c>
    </row>
    <row r="58" spans="1:18" x14ac:dyDescent="0.25">
      <c r="A58" s="40"/>
      <c r="B58" s="40"/>
      <c r="C58" s="92"/>
      <c r="D58" s="20" t="s">
        <v>72</v>
      </c>
      <c r="E58" s="93"/>
      <c r="F58" s="42"/>
      <c r="G58" s="42"/>
      <c r="H58" s="42"/>
      <c r="I58" s="42"/>
      <c r="J58" s="42"/>
      <c r="K58" s="122"/>
      <c r="L58" s="34"/>
      <c r="M58" s="43"/>
      <c r="N58" s="44"/>
      <c r="O58" s="23">
        <f t="shared" si="2"/>
        <v>0</v>
      </c>
      <c r="P58" s="36"/>
      <c r="Q58" s="44"/>
      <c r="R58" s="34">
        <f t="shared" si="1"/>
        <v>0</v>
      </c>
    </row>
    <row r="59" spans="1:18" x14ac:dyDescent="0.25">
      <c r="A59" s="103" t="s">
        <v>38</v>
      </c>
      <c r="B59" s="13" t="s">
        <v>62</v>
      </c>
      <c r="C59" s="13" t="s">
        <v>50</v>
      </c>
      <c r="D59" s="24" t="s">
        <v>50</v>
      </c>
      <c r="E59" s="14">
        <v>36342</v>
      </c>
      <c r="F59" s="26">
        <v>7717.06</v>
      </c>
      <c r="G59" s="27">
        <v>7717.06</v>
      </c>
      <c r="H59" s="27">
        <v>617.36</v>
      </c>
      <c r="I59" s="48"/>
      <c r="J59" s="27"/>
      <c r="K59" s="19"/>
      <c r="L59" s="19">
        <v>951.62</v>
      </c>
      <c r="M59" s="19">
        <v>1069.4000000000001</v>
      </c>
      <c r="N59" s="19">
        <f>1</f>
        <v>1</v>
      </c>
      <c r="O59" s="37">
        <f t="shared" si="2"/>
        <v>6312.4</v>
      </c>
      <c r="P59" s="19">
        <f>942.4</f>
        <v>942.4</v>
      </c>
      <c r="Q59" s="19">
        <f>77.17</f>
        <v>77.17</v>
      </c>
      <c r="R59" s="25">
        <f t="shared" si="1"/>
        <v>7177.6299999999992</v>
      </c>
    </row>
    <row r="60" spans="1:18" x14ac:dyDescent="0.25">
      <c r="A60" s="113" t="s">
        <v>98</v>
      </c>
      <c r="B60" s="66" t="s">
        <v>61</v>
      </c>
      <c r="C60" s="95" t="s">
        <v>99</v>
      </c>
      <c r="D60" s="66" t="s">
        <v>100</v>
      </c>
      <c r="E60" s="67">
        <v>45607</v>
      </c>
      <c r="F60" s="68">
        <v>3901.28</v>
      </c>
      <c r="G60" s="53">
        <v>3901.28</v>
      </c>
      <c r="H60" s="27"/>
      <c r="I60" s="69"/>
      <c r="J60" s="53"/>
      <c r="K60" s="29"/>
      <c r="L60" s="29">
        <v>361.55</v>
      </c>
      <c r="M60" s="29">
        <v>99.95</v>
      </c>
      <c r="N60" s="29">
        <f>1+97.53</f>
        <v>98.53</v>
      </c>
      <c r="O60" s="77">
        <f t="shared" si="2"/>
        <v>3341.25</v>
      </c>
      <c r="P60" s="29">
        <f>942.4+186.2</f>
        <v>1128.5999999999999</v>
      </c>
      <c r="Q60" s="29">
        <v>0</v>
      </c>
      <c r="R60" s="19">
        <f t="shared" ref="R60" si="3">O60+P60-Q60</f>
        <v>4469.8500000000004</v>
      </c>
    </row>
    <row r="61" spans="1:18" x14ac:dyDescent="0.25">
      <c r="A61" s="94"/>
      <c r="B61" s="31"/>
      <c r="C61" s="96"/>
      <c r="D61" s="31" t="s">
        <v>73</v>
      </c>
      <c r="E61" s="98"/>
      <c r="F61" s="98"/>
      <c r="G61" s="98"/>
      <c r="H61" s="97"/>
      <c r="I61" s="99"/>
      <c r="J61" s="100"/>
      <c r="K61" s="101"/>
      <c r="L61" s="101"/>
      <c r="M61" s="101"/>
      <c r="N61" s="101"/>
      <c r="O61" s="101"/>
      <c r="P61" s="101"/>
      <c r="Q61" s="101"/>
      <c r="R61" s="102"/>
    </row>
    <row r="62" spans="1:1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R62" s="12"/>
    </row>
    <row r="63" spans="1:18" x14ac:dyDescent="0.25">
      <c r="A63" s="4" t="s">
        <v>74</v>
      </c>
      <c r="B63" s="5"/>
      <c r="C63" s="5"/>
      <c r="D63" s="5"/>
      <c r="K63" s="1"/>
      <c r="R63" s="135"/>
    </row>
    <row r="64" spans="1:18" x14ac:dyDescent="0.25">
      <c r="A64" s="4" t="s">
        <v>75</v>
      </c>
      <c r="B64" s="5"/>
      <c r="C64" s="5"/>
      <c r="D64" s="5"/>
      <c r="P64" s="6"/>
    </row>
    <row r="65" spans="1:18" x14ac:dyDescent="0.25">
      <c r="A65" s="4" t="s">
        <v>76</v>
      </c>
      <c r="B65" s="5"/>
      <c r="C65" s="5"/>
      <c r="D65" s="5"/>
      <c r="R65" s="11"/>
    </row>
    <row r="66" spans="1:18" x14ac:dyDescent="0.25">
      <c r="A66" s="4" t="s">
        <v>103</v>
      </c>
      <c r="P66" s="6"/>
      <c r="Q66" s="6"/>
      <c r="R66" s="11"/>
    </row>
    <row r="67" spans="1:18" x14ac:dyDescent="0.25">
      <c r="P67" s="6"/>
      <c r="Q67" s="6"/>
      <c r="R67" s="11"/>
    </row>
    <row r="68" spans="1:18" x14ac:dyDescent="0.25">
      <c r="P68" s="6"/>
      <c r="Q68" s="6"/>
      <c r="R68" s="10"/>
    </row>
    <row r="69" spans="1:18" x14ac:dyDescent="0.25">
      <c r="P69" s="7"/>
      <c r="Q69" s="6"/>
      <c r="R69" s="10"/>
    </row>
    <row r="70" spans="1:18" x14ac:dyDescent="0.25">
      <c r="O70" s="119"/>
      <c r="P70" s="120"/>
      <c r="Q70" s="6"/>
      <c r="R70" s="10"/>
    </row>
    <row r="71" spans="1:18" x14ac:dyDescent="0.25">
      <c r="D71" s="119"/>
      <c r="O71" s="119"/>
      <c r="P71" s="120"/>
      <c r="Q71" s="6"/>
      <c r="R71" s="1"/>
    </row>
    <row r="72" spans="1:18" x14ac:dyDescent="0.25">
      <c r="D72" s="119"/>
      <c r="O72" s="119"/>
      <c r="P72" s="120"/>
      <c r="Q72" s="6"/>
      <c r="R72" s="1"/>
    </row>
    <row r="73" spans="1:18" x14ac:dyDescent="0.25">
      <c r="D73" s="119"/>
      <c r="O73" s="119"/>
      <c r="P73" s="120"/>
      <c r="Q73" s="6"/>
      <c r="R73" s="1"/>
    </row>
    <row r="74" spans="1:18" x14ac:dyDescent="0.25">
      <c r="O74" s="119"/>
      <c r="P74" s="120"/>
      <c r="Q74" s="6"/>
      <c r="R74" s="1"/>
    </row>
    <row r="75" spans="1:18" x14ac:dyDescent="0.25">
      <c r="P75" s="6"/>
      <c r="Q75" s="6"/>
      <c r="R75" s="1"/>
    </row>
    <row r="76" spans="1:18" x14ac:dyDescent="0.25">
      <c r="D76" s="6"/>
      <c r="P76" s="6"/>
      <c r="Q76" s="6"/>
      <c r="R76" s="1"/>
    </row>
    <row r="77" spans="1:18" x14ac:dyDescent="0.25">
      <c r="O77" s="6"/>
      <c r="R77" s="11"/>
    </row>
    <row r="78" spans="1:18" x14ac:dyDescent="0.25">
      <c r="M78" s="6"/>
      <c r="P78" s="1"/>
      <c r="Q78" s="1"/>
      <c r="R78" s="11"/>
    </row>
    <row r="79" spans="1:18" x14ac:dyDescent="0.25">
      <c r="R79" s="11"/>
    </row>
    <row r="80" spans="1:18" x14ac:dyDescent="0.25">
      <c r="R80" s="11"/>
    </row>
    <row r="81" spans="18:20" x14ac:dyDescent="0.25">
      <c r="R81" s="11"/>
      <c r="T81" s="1"/>
    </row>
    <row r="82" spans="18:20" x14ac:dyDescent="0.25">
      <c r="R82" s="10"/>
    </row>
    <row r="83" spans="18:20" x14ac:dyDescent="0.25">
      <c r="R83" s="10"/>
    </row>
    <row r="84" spans="18:20" x14ac:dyDescent="0.25">
      <c r="R84" s="10"/>
    </row>
    <row r="85" spans="18:20" x14ac:dyDescent="0.25">
      <c r="R85" s="10"/>
    </row>
    <row r="86" spans="18:20" x14ac:dyDescent="0.25">
      <c r="R86" s="10"/>
    </row>
    <row r="87" spans="18:20" x14ac:dyDescent="0.25">
      <c r="R87" s="10"/>
    </row>
    <row r="89" spans="18:20" x14ac:dyDescent="0.25">
      <c r="R89" s="1"/>
    </row>
  </sheetData>
  <mergeCells count="17">
    <mergeCell ref="Q38:Q39"/>
    <mergeCell ref="K28:K29"/>
    <mergeCell ref="H38:H39"/>
    <mergeCell ref="J38:J39"/>
    <mergeCell ref="K38:K39"/>
    <mergeCell ref="J8:K8"/>
    <mergeCell ref="A7:R7"/>
    <mergeCell ref="H17:H18"/>
    <mergeCell ref="J17:J18"/>
    <mergeCell ref="K17:K18"/>
    <mergeCell ref="G8:H8"/>
    <mergeCell ref="L8:M8"/>
    <mergeCell ref="K57:K58"/>
    <mergeCell ref="H48:H49"/>
    <mergeCell ref="J48:J49"/>
    <mergeCell ref="K48:K49"/>
    <mergeCell ref="Q48:Q49"/>
  </mergeCells>
  <pageMargins left="0.511811024" right="0.511811024" top="0.78740157499999996" bottom="0.78740157499999996" header="0.31496062000000002" footer="0.31496062000000002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 Móvel 02</dc:creator>
  <cp:lastModifiedBy>KLEBER SANTOS DE MORAIS</cp:lastModifiedBy>
  <cp:lastPrinted>2024-06-04T13:55:22Z</cp:lastPrinted>
  <dcterms:created xsi:type="dcterms:W3CDTF">2015-03-19T13:17:23Z</dcterms:created>
  <dcterms:modified xsi:type="dcterms:W3CDTF">2025-08-27T17:41:44Z</dcterms:modified>
</cp:coreProperties>
</file>