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678DB0ED-3301-4088-8643-643DDE0106D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etembr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55" l="1"/>
  <c r="R44" i="55"/>
  <c r="Q51" i="55"/>
  <c r="O51" i="55"/>
  <c r="Q44" i="55"/>
  <c r="R31" i="55"/>
  <c r="N30" i="55"/>
  <c r="M30" i="55"/>
  <c r="N27" i="55"/>
  <c r="Q60" i="55"/>
  <c r="O60" i="55"/>
  <c r="N60" i="55"/>
  <c r="M60" i="55"/>
  <c r="P60" i="55" s="1"/>
  <c r="R59" i="55"/>
  <c r="Q59" i="55"/>
  <c r="N59" i="55"/>
  <c r="P59" i="55" s="1"/>
  <c r="R57" i="55"/>
  <c r="Q57" i="55"/>
  <c r="N57" i="55"/>
  <c r="R56" i="55"/>
  <c r="Q56" i="55"/>
  <c r="N56" i="55"/>
  <c r="R55" i="55"/>
  <c r="Q55" i="55"/>
  <c r="O55" i="55"/>
  <c r="P55" i="55" s="1"/>
  <c r="N55" i="55"/>
  <c r="M55" i="55"/>
  <c r="R54" i="55"/>
  <c r="Q54" i="55"/>
  <c r="N54" i="55"/>
  <c r="M54" i="55"/>
  <c r="P54" i="55" s="1"/>
  <c r="R53" i="55"/>
  <c r="Q53" i="55"/>
  <c r="O53" i="55"/>
  <c r="N53" i="55"/>
  <c r="P53" i="55" s="1"/>
  <c r="M53" i="55"/>
  <c r="R52" i="55"/>
  <c r="Q52" i="55"/>
  <c r="O52" i="55"/>
  <c r="N52" i="55"/>
  <c r="P52" i="55" s="1"/>
  <c r="M52" i="55"/>
  <c r="R51" i="55"/>
  <c r="N51" i="55"/>
  <c r="M51" i="55"/>
  <c r="R50" i="55"/>
  <c r="Q50" i="55"/>
  <c r="O50" i="55"/>
  <c r="N50" i="55"/>
  <c r="P50" i="55" s="1"/>
  <c r="M50" i="55"/>
  <c r="R48" i="55"/>
  <c r="Q48" i="55"/>
  <c r="N48" i="55"/>
  <c r="M48" i="55"/>
  <c r="R47" i="55"/>
  <c r="Q47" i="55"/>
  <c r="N47" i="55"/>
  <c r="M47" i="55"/>
  <c r="P47" i="55" s="1"/>
  <c r="R46" i="55"/>
  <c r="Q46" i="55"/>
  <c r="O46" i="55"/>
  <c r="N46" i="55"/>
  <c r="M46" i="55"/>
  <c r="P46" i="55" s="1"/>
  <c r="R45" i="55"/>
  <c r="Q45" i="55"/>
  <c r="O45" i="55"/>
  <c r="P45" i="55" s="1"/>
  <c r="N45" i="55"/>
  <c r="M45" i="55"/>
  <c r="N44" i="55"/>
  <c r="R43" i="55"/>
  <c r="Q43" i="55"/>
  <c r="O43" i="55"/>
  <c r="N43" i="55"/>
  <c r="M43" i="55"/>
  <c r="Q42" i="55"/>
  <c r="N42" i="55"/>
  <c r="P42" i="55" s="1"/>
  <c r="Q40" i="55"/>
  <c r="N40" i="55"/>
  <c r="M40" i="55"/>
  <c r="Q38" i="55"/>
  <c r="N38" i="55"/>
  <c r="M38" i="55"/>
  <c r="R37" i="55"/>
  <c r="Q37" i="55"/>
  <c r="N37" i="55"/>
  <c r="M37" i="55"/>
  <c r="P37" i="55" s="1"/>
  <c r="R36" i="55"/>
  <c r="N36" i="55"/>
  <c r="M36" i="55"/>
  <c r="Q36" i="55"/>
  <c r="R35" i="55"/>
  <c r="Q35" i="55"/>
  <c r="N35" i="55"/>
  <c r="P35" i="55" s="1"/>
  <c r="Q33" i="55"/>
  <c r="O33" i="55"/>
  <c r="P33" i="55" s="1"/>
  <c r="N33" i="55"/>
  <c r="M33" i="55"/>
  <c r="Q25" i="55"/>
  <c r="Q22" i="55"/>
  <c r="R32" i="55"/>
  <c r="Q32" i="55"/>
  <c r="O32" i="55"/>
  <c r="N32" i="55"/>
  <c r="P32" i="55" s="1"/>
  <c r="Q31" i="55"/>
  <c r="Q30" i="55"/>
  <c r="O31" i="55"/>
  <c r="N31" i="55"/>
  <c r="M31" i="55"/>
  <c r="P31" i="55" s="1"/>
  <c r="R30" i="55"/>
  <c r="R28" i="55"/>
  <c r="N28" i="55"/>
  <c r="M28" i="55"/>
  <c r="P28" i="55" s="1"/>
  <c r="R27" i="55"/>
  <c r="Q27" i="55"/>
  <c r="O27" i="55"/>
  <c r="M27" i="55"/>
  <c r="P27" i="55" s="1"/>
  <c r="N25" i="55"/>
  <c r="P25" i="55" s="1"/>
  <c r="R24" i="55"/>
  <c r="O24" i="55"/>
  <c r="N24" i="55"/>
  <c r="M24" i="55"/>
  <c r="R23" i="55"/>
  <c r="Q23" i="55"/>
  <c r="N23" i="55"/>
  <c r="M23" i="55"/>
  <c r="P23" i="55" s="1"/>
  <c r="R22" i="55"/>
  <c r="O22" i="55"/>
  <c r="P22" i="55" s="1"/>
  <c r="N22" i="55"/>
  <c r="M22" i="55"/>
  <c r="R21" i="55"/>
  <c r="Q21" i="55"/>
  <c r="O21" i="55"/>
  <c r="N21" i="55"/>
  <c r="P21" i="55" s="1"/>
  <c r="M21" i="55"/>
  <c r="R20" i="55"/>
  <c r="Q20" i="55"/>
  <c r="O20" i="55"/>
  <c r="N20" i="55"/>
  <c r="M20" i="55"/>
  <c r="R19" i="55"/>
  <c r="Q19" i="55"/>
  <c r="M19" i="55"/>
  <c r="R17" i="55"/>
  <c r="Q17" i="55"/>
  <c r="N17" i="55"/>
  <c r="M17" i="55"/>
  <c r="R16" i="55"/>
  <c r="Q16" i="55"/>
  <c r="O16" i="55"/>
  <c r="N16" i="55"/>
  <c r="M16" i="55"/>
  <c r="O14" i="55"/>
  <c r="Q14" i="55"/>
  <c r="M14" i="55"/>
  <c r="Q12" i="55"/>
  <c r="N12" i="55"/>
  <c r="M12" i="55"/>
  <c r="R10" i="55"/>
  <c r="Q10" i="55"/>
  <c r="O10" i="55"/>
  <c r="N10" i="55"/>
  <c r="M10" i="55"/>
  <c r="P10" i="55" s="1"/>
  <c r="P58" i="55"/>
  <c r="P57" i="55"/>
  <c r="P56" i="55"/>
  <c r="P51" i="55"/>
  <c r="P49" i="55"/>
  <c r="P48" i="55"/>
  <c r="P44" i="55"/>
  <c r="P41" i="55"/>
  <c r="P39" i="55"/>
  <c r="P38" i="55"/>
  <c r="P34" i="55"/>
  <c r="P29" i="55"/>
  <c r="P26" i="55"/>
  <c r="P24" i="55"/>
  <c r="P19" i="55"/>
  <c r="P18" i="55"/>
  <c r="P17" i="55"/>
  <c r="P15" i="55"/>
  <c r="P14" i="55"/>
  <c r="P13" i="55"/>
  <c r="P12" i="55"/>
  <c r="M57" i="55"/>
  <c r="M44" i="55"/>
  <c r="R14" i="55"/>
  <c r="P30" i="55" l="1"/>
  <c r="P43" i="55"/>
  <c r="P40" i="55"/>
  <c r="P36" i="55"/>
  <c r="P20" i="55"/>
  <c r="P16" i="55"/>
  <c r="O59" i="55"/>
  <c r="H57" i="55"/>
  <c r="O56" i="55"/>
  <c r="H56" i="55"/>
  <c r="H55" i="55"/>
  <c r="G55" i="55"/>
  <c r="G54" i="55"/>
  <c r="H54" i="55"/>
  <c r="H52" i="55"/>
  <c r="O48" i="55"/>
  <c r="O47" i="55"/>
  <c r="H47" i="55"/>
  <c r="O44" i="55"/>
  <c r="H44" i="55"/>
  <c r="H43" i="55"/>
  <c r="G42" i="55"/>
  <c r="R42" i="55"/>
  <c r="H42" i="55"/>
  <c r="G37" i="55"/>
  <c r="O37" i="55"/>
  <c r="H36" i="55"/>
  <c r="O35" i="55"/>
  <c r="G33" i="55"/>
  <c r="R33" i="55"/>
  <c r="H32" i="55"/>
  <c r="H25" i="55"/>
  <c r="G25" i="55"/>
  <c r="H24" i="55"/>
  <c r="O23" i="55"/>
  <c r="H23" i="55"/>
  <c r="H22" i="55"/>
  <c r="H21" i="55"/>
  <c r="G21" i="55"/>
  <c r="O19" i="55"/>
  <c r="H20" i="55"/>
  <c r="H19" i="55"/>
  <c r="G17" i="55"/>
  <c r="O17" i="55"/>
  <c r="O12" i="55"/>
  <c r="H10" i="55"/>
  <c r="O54" i="55" l="1"/>
  <c r="O40" i="55"/>
  <c r="O38" i="55"/>
  <c r="S12" i="55" l="1"/>
  <c r="O30" i="55" l="1"/>
  <c r="O57" i="55" l="1"/>
  <c r="S60" i="55" l="1"/>
  <c r="S58" i="55" l="1"/>
  <c r="S49" i="55"/>
  <c r="S41" i="55"/>
  <c r="S39" i="55"/>
  <c r="S34" i="55"/>
  <c r="S26" i="55"/>
  <c r="S18" i="55"/>
  <c r="S15" i="55"/>
  <c r="S28" i="55"/>
  <c r="S52" i="55" l="1"/>
  <c r="S21" i="55"/>
  <c r="S47" i="55"/>
  <c r="S56" i="55"/>
  <c r="S22" i="55"/>
  <c r="S50" i="55"/>
  <c r="S54" i="55"/>
  <c r="S35" i="55"/>
  <c r="S32" i="55"/>
  <c r="S31" i="55"/>
  <c r="S38" i="55"/>
  <c r="S59" i="55"/>
  <c r="S24" i="55"/>
  <c r="S14" i="55"/>
  <c r="S44" i="55"/>
  <c r="S20" i="55"/>
  <c r="S55" i="55"/>
  <c r="S57" i="55"/>
  <c r="S45" i="55"/>
  <c r="S53" i="55"/>
  <c r="S19" i="55"/>
  <c r="S46" i="55"/>
  <c r="S27" i="55"/>
  <c r="S33" i="55"/>
  <c r="S40" i="55"/>
  <c r="S16" i="55"/>
  <c r="S37" i="55"/>
  <c r="S43" i="55"/>
  <c r="S51" i="55"/>
  <c r="O25" i="55"/>
  <c r="S17" i="55"/>
  <c r="S25" i="55" l="1"/>
  <c r="S23" i="55" l="1"/>
  <c r="S48" i="55" l="1"/>
  <c r="S30" i="55" l="1"/>
  <c r="O42" i="55"/>
  <c r="O36" i="55"/>
  <c r="S42" i="55" l="1"/>
  <c r="S36" i="55"/>
  <c r="S10" i="55"/>
</calcChain>
</file>

<file path=xl/sharedStrings.xml><?xml version="1.0" encoding="utf-8"?>
<sst xmlns="http://schemas.openxmlformats.org/spreadsheetml/2006/main" count="198" uniqueCount="105">
  <si>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</si>
  <si>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</si>
  <si>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</si>
  <si>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</si>
  <si>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</si>
  <si>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</si>
  <si>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</si>
  <si>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</si>
  <si>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</si>
  <si>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</si>
  <si>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</si>
  <si>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</si>
  <si>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</si>
  <si>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</si>
  <si>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</si>
  <si>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</si>
  <si>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</si>
  <si>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</si>
  <si>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</si>
  <si>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</si>
  <si>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</si>
  <si>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</si>
  <si>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</si>
  <si>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</si>
  <si>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</si>
  <si>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</si>
  <si>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</si>
  <si>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</si>
  <si>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</si>
  <si>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</si>
  <si>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</si>
  <si>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</si>
  <si>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</si>
  <si>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</si>
  <si>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</si>
  <si>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</si>
  <si>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</si>
  <si>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</si>
  <si>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</si>
  <si>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</si>
  <si>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</si>
  <si>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</si>
  <si>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</si>
  <si>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</si>
  <si>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</si>
  <si>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</si>
  <si>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</si>
  <si>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</si>
  <si>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</si>
  <si>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</si>
  <si>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</si>
  <si>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</si>
  <si>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</si>
  <si>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</si>
  <si>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</si>
  <si>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</si>
  <si>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</si>
  <si>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</si>
  <si>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</si>
  <si>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</si>
  <si>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</si>
  <si>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</si>
  <si>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</si>
  <si>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</si>
  <si>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</si>
  <si>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</si>
  <si>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</si>
  <si>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</si>
  <si>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</si>
  <si>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</si>
  <si>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</si>
  <si>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</si>
  <si>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</si>
  <si>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</si>
  <si>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</si>
  <si>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</si>
  <si>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</si>
  <si>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</si>
  <si>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</si>
  <si>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</si>
  <si>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</si>
  <si>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</si>
  <si>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</si>
  <si>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</si>
  <si>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</si>
  <si>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</si>
  <si>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</si>
  <si>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</si>
  <si>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</si>
  <si>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</si>
  <si>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</si>
  <si>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</si>
  <si>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</si>
  <si>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</si>
  <si>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</si>
  <si>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</si>
  <si>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</si>
  <si>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</si>
  <si>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</si>
  <si>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</si>
  <si>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</si>
  <si>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</si>
  <si>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</si>
  <si>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</si>
  <si>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REMUNERAÇÃO REFERENTE À FOLHA DE PAGAMENTO DE SETEMBRO/2025 -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</si>
</sst>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0" xfId="0" applyFont="1"/>
    <xf numFmtId="43" fontId="9" fillId="0" borderId="0" xfId="1" applyFont="1"/>
    <xf numFmtId="43" fontId="1" fillId="0" borderId="0" xfId="0" applyNumberFormat="1" applyFont="1"/>
    <xf numFmtId="0" fontId="2" fillId="2" borderId="4" xfId="0" applyFont="1" applyFill="1" applyBorder="1" applyAlignment="1">
      <alignment horizontal="righ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4">
    <cellStyle name="Normal" xfId="0" builtinId="0"/>
    <cellStyle name="Vírgula" xfId="1" builtinId="3"/>
    <cellStyle name="Vírgula 2" xfId="2" xr:uid="{B272E439-B7CB-407E-AF36-8BE3FEEBE44B}"/>
    <cellStyle name="Vírgula 3" xfId="3" xr:uid="{D8008A05-F8ED-43ED-A540-CEFA26A25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U89"/>
  <sheetViews>
    <sheetView tabSelected="1" topLeftCell="L57" workbookViewId="0">
      <selection activeCell="S63" sqref="S63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27.85546875" customWidth="1"/>
    <col min="11" max="11" width="12.5703125" customWidth="1"/>
    <col min="12" max="12" width="21.7109375" bestFit="1" customWidth="1"/>
    <col min="13" max="13" width="11" customWidth="1"/>
    <col min="14" max="14" width="12" customWidth="1"/>
    <col min="15" max="15" width="28.28515625" customWidth="1"/>
    <col min="16" max="16" width="27" customWidth="1"/>
    <col min="17" max="17" width="20.85546875" customWidth="1"/>
    <col min="18" max="18" width="18" customWidth="1"/>
    <col min="19" max="19" width="13.42578125" customWidth="1"/>
  </cols>
  <sheetData>
    <row r="7" spans="1:19" x14ac:dyDescent="0.25">
      <c r="A7" s="130" t="s">
        <v>104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2"/>
    </row>
    <row r="8" spans="1:19" x14ac:dyDescent="0.25">
      <c r="A8" s="3"/>
      <c r="B8" s="3"/>
      <c r="C8" s="3"/>
      <c r="D8" s="3"/>
      <c r="E8" s="3"/>
      <c r="F8" s="3"/>
      <c r="G8" s="129" t="s">
        <v>39</v>
      </c>
      <c r="H8" s="129"/>
      <c r="I8" s="3" t="s">
        <v>77</v>
      </c>
      <c r="J8" s="3" t="s">
        <v>77</v>
      </c>
      <c r="K8" s="129" t="s">
        <v>41</v>
      </c>
      <c r="L8" s="129"/>
      <c r="M8" s="129" t="s">
        <v>42</v>
      </c>
      <c r="N8" s="129"/>
      <c r="O8" s="3" t="s">
        <v>67</v>
      </c>
      <c r="P8" s="3" t="s">
        <v>43</v>
      </c>
      <c r="Q8" s="3" t="s">
        <v>44</v>
      </c>
      <c r="R8" s="3" t="s">
        <v>45</v>
      </c>
      <c r="S8" s="3" t="s">
        <v>68</v>
      </c>
    </row>
    <row r="9" spans="1:19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/>
      <c r="K9" s="9" t="s">
        <v>1</v>
      </c>
      <c r="L9" s="9" t="s">
        <v>101</v>
      </c>
      <c r="M9" s="9" t="s">
        <v>2</v>
      </c>
      <c r="N9" s="9" t="s">
        <v>66</v>
      </c>
      <c r="O9" s="9"/>
      <c r="P9" s="9"/>
      <c r="Q9" s="9"/>
      <c r="R9" s="9"/>
      <c r="S9" s="9"/>
    </row>
    <row r="10" spans="1:19" s="8" customFormat="1" x14ac:dyDescent="0.25">
      <c r="A10" s="102" t="s">
        <v>4</v>
      </c>
      <c r="B10" s="13" t="s">
        <v>61</v>
      </c>
      <c r="C10" s="13" t="s">
        <v>48</v>
      </c>
      <c r="D10" s="13" t="s">
        <v>79</v>
      </c>
      <c r="E10" s="14">
        <v>41218</v>
      </c>
      <c r="F10" s="15">
        <v>3942.18</v>
      </c>
      <c r="G10" s="15">
        <v>3942.18</v>
      </c>
      <c r="H10" s="15">
        <f>236.53+197.11+315.37+3913.16</f>
        <v>4662.17</v>
      </c>
      <c r="I10" s="15"/>
      <c r="J10" s="15">
        <v>1738.53</v>
      </c>
      <c r="K10" s="15"/>
      <c r="L10" s="16"/>
      <c r="M10" s="16">
        <f>951.62</f>
        <v>951.62</v>
      </c>
      <c r="N10" s="16">
        <f>1195.77+478.1</f>
        <v>1673.87</v>
      </c>
      <c r="O10" s="17">
        <f>1+98.55+4.97+3.32+4.97+4.97</f>
        <v>117.77999999999999</v>
      </c>
      <c r="P10" s="16">
        <f>G10+H10+I10+J10+K10+L10-M10-N10-O10</f>
        <v>7599.6100000000006</v>
      </c>
      <c r="Q10" s="18">
        <f>992.53+243.6+200.52</f>
        <v>1436.6499999999999</v>
      </c>
      <c r="R10" s="17">
        <f>1298.34+192.01+39.42+1.99+1.33+1.99+1.99</f>
        <v>1537.07</v>
      </c>
      <c r="S10" s="19">
        <f>P10+Q10-R10</f>
        <v>7499.1900000000005</v>
      </c>
    </row>
    <row r="11" spans="1:19" s="8" customFormat="1" x14ac:dyDescent="0.25">
      <c r="A11" s="20"/>
      <c r="B11" s="20"/>
      <c r="C11" s="20"/>
      <c r="D11" s="20" t="s">
        <v>72</v>
      </c>
      <c r="E11" s="21"/>
      <c r="F11" s="22"/>
      <c r="G11" s="22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</row>
    <row r="12" spans="1:19" s="8" customFormat="1" x14ac:dyDescent="0.25">
      <c r="A12" s="117" t="s">
        <v>102</v>
      </c>
      <c r="B12" s="13" t="s">
        <v>61</v>
      </c>
      <c r="C12" s="13" t="s">
        <v>56</v>
      </c>
      <c r="D12" s="13" t="s">
        <v>83</v>
      </c>
      <c r="E12" s="114">
        <v>45779</v>
      </c>
      <c r="F12" s="79">
        <v>7826.33</v>
      </c>
      <c r="G12" s="79">
        <v>7826.33</v>
      </c>
      <c r="H12" s="79"/>
      <c r="I12" s="115"/>
      <c r="J12" s="15">
        <v>1581.32</v>
      </c>
      <c r="K12" s="79"/>
      <c r="L12" s="37"/>
      <c r="M12" s="37">
        <f>905.27+55.35+55.35+55.35+55.35</f>
        <v>1126.6699999999998</v>
      </c>
      <c r="N12" s="37">
        <f>942.42+93.5+93.5+93.5+93.48</f>
        <v>1316.4</v>
      </c>
      <c r="O12" s="113">
        <f>1</f>
        <v>1</v>
      </c>
      <c r="P12" s="16">
        <f t="shared" ref="P12:P60" si="0">G12+H12+I12+J12+K12+L12-M12-N12-O12</f>
        <v>6963.58</v>
      </c>
      <c r="Q12" s="116">
        <f>992.53+200.52</f>
        <v>1193.05</v>
      </c>
      <c r="R12" s="113">
        <v>402.63</v>
      </c>
      <c r="S12" s="19">
        <f>P12+Q12-R12</f>
        <v>7754</v>
      </c>
    </row>
    <row r="13" spans="1:19" s="8" customFormat="1" x14ac:dyDescent="0.25">
      <c r="A13" s="24"/>
      <c r="B13" s="24"/>
      <c r="C13" s="24"/>
      <c r="D13" s="20" t="s">
        <v>73</v>
      </c>
      <c r="E13" s="114"/>
      <c r="F13" s="79"/>
      <c r="G13" s="79"/>
      <c r="H13" s="79"/>
      <c r="I13" s="115"/>
      <c r="J13" s="22"/>
      <c r="K13" s="79"/>
      <c r="L13" s="37"/>
      <c r="M13" s="37"/>
      <c r="N13" s="37"/>
      <c r="O13" s="113"/>
      <c r="P13" s="16">
        <f t="shared" si="0"/>
        <v>0</v>
      </c>
      <c r="Q13" s="116"/>
      <c r="R13" s="113"/>
      <c r="S13" s="37"/>
    </row>
    <row r="14" spans="1:19" x14ac:dyDescent="0.25">
      <c r="A14" s="102" t="s">
        <v>95</v>
      </c>
      <c r="B14" s="13" t="s">
        <v>61</v>
      </c>
      <c r="C14" s="13" t="s">
        <v>97</v>
      </c>
      <c r="D14" s="13" t="s">
        <v>96</v>
      </c>
      <c r="E14" s="14">
        <v>45551</v>
      </c>
      <c r="F14" s="26">
        <v>2465.3000000000002</v>
      </c>
      <c r="G14" s="27">
        <v>2465.3000000000002</v>
      </c>
      <c r="H14" s="27"/>
      <c r="I14" s="28"/>
      <c r="J14" s="27">
        <v>498.12</v>
      </c>
      <c r="K14" s="27">
        <v>2191.37</v>
      </c>
      <c r="L14" s="19"/>
      <c r="M14" s="19">
        <f>199.1+174.45+11.21+11.21+11.21+11.21</f>
        <v>418.38999999999987</v>
      </c>
      <c r="N14" s="19">
        <v>0</v>
      </c>
      <c r="O14" s="29">
        <f>1+61.63+132.32+3.11+3.11+3.11+3.11</f>
        <v>207.39000000000004</v>
      </c>
      <c r="P14" s="16">
        <f t="shared" si="0"/>
        <v>4529.0099999999993</v>
      </c>
      <c r="Q14" s="30">
        <f>992.53+19.6+1095.69+200.52</f>
        <v>2308.34</v>
      </c>
      <c r="R14" s="29">
        <f>159.53+106.35</f>
        <v>265.88</v>
      </c>
      <c r="S14" s="19">
        <f t="shared" ref="S14:S59" si="1">P14+Q14-R14</f>
        <v>6571.4699999999993</v>
      </c>
    </row>
    <row r="15" spans="1:19" x14ac:dyDescent="0.25">
      <c r="A15" s="103"/>
      <c r="B15" s="20"/>
      <c r="C15" s="20"/>
      <c r="D15" s="31" t="s">
        <v>73</v>
      </c>
      <c r="E15" s="21"/>
      <c r="F15" s="32"/>
      <c r="G15" s="33"/>
      <c r="H15" s="33"/>
      <c r="I15" s="28"/>
      <c r="J15" s="33"/>
      <c r="K15" s="33"/>
      <c r="L15" s="34"/>
      <c r="M15" s="34"/>
      <c r="N15" s="34"/>
      <c r="O15" s="35"/>
      <c r="P15" s="16">
        <f t="shared" si="0"/>
        <v>0</v>
      </c>
      <c r="Q15" s="36"/>
      <c r="R15" s="35"/>
      <c r="S15" s="34">
        <f t="shared" si="1"/>
        <v>0</v>
      </c>
    </row>
    <row r="16" spans="1:19" x14ac:dyDescent="0.25">
      <c r="A16" s="103" t="s">
        <v>5</v>
      </c>
      <c r="B16" s="20" t="s">
        <v>63</v>
      </c>
      <c r="C16" s="20" t="s">
        <v>49</v>
      </c>
      <c r="D16" s="13" t="s">
        <v>49</v>
      </c>
      <c r="E16" s="21">
        <v>41445</v>
      </c>
      <c r="F16" s="32">
        <v>2950.73</v>
      </c>
      <c r="G16" s="33">
        <v>2950.73</v>
      </c>
      <c r="H16" s="33"/>
      <c r="I16" s="33"/>
      <c r="J16" s="33">
        <v>641.54</v>
      </c>
      <c r="K16" s="33">
        <v>1081.93</v>
      </c>
      <c r="L16" s="34"/>
      <c r="M16" s="34">
        <f>247.49+81.14+15.14+18.2+23.53+17.89</f>
        <v>403.39</v>
      </c>
      <c r="N16" s="34">
        <f>12.32+12.81+15.83+12.64</f>
        <v>53.6</v>
      </c>
      <c r="O16" s="34">
        <f>1+73.77+5.77+3.6+1.49+3.73</f>
        <v>89.359999999999985</v>
      </c>
      <c r="P16" s="16">
        <f t="shared" si="0"/>
        <v>4127.8499999999995</v>
      </c>
      <c r="Q16" s="34">
        <f>992.53+117.6+200.52</f>
        <v>1310.6499999999999</v>
      </c>
      <c r="R16" s="34">
        <f>29.51+2.31+1.44+0.6+1.49</f>
        <v>35.35</v>
      </c>
      <c r="S16" s="25">
        <f t="shared" si="1"/>
        <v>5403.1499999999987</v>
      </c>
    </row>
    <row r="17" spans="1:19" x14ac:dyDescent="0.25">
      <c r="A17" s="104" t="s">
        <v>6</v>
      </c>
      <c r="B17" s="13" t="s">
        <v>61</v>
      </c>
      <c r="C17" s="13" t="s">
        <v>51</v>
      </c>
      <c r="D17" s="13" t="s">
        <v>91</v>
      </c>
      <c r="E17" s="14">
        <v>36087</v>
      </c>
      <c r="F17" s="38">
        <v>7826.33</v>
      </c>
      <c r="G17" s="38">
        <f>4434.92+228.42</f>
        <v>4663.34</v>
      </c>
      <c r="H17" s="126"/>
      <c r="I17" s="15"/>
      <c r="J17" s="15">
        <v>1581.32</v>
      </c>
      <c r="K17" s="126"/>
      <c r="L17" s="124"/>
      <c r="M17" s="18">
        <f>474.31+55.35+55.35+55.35+55.35</f>
        <v>695.71</v>
      </c>
      <c r="N17" s="18">
        <f>237.14+95.02+95.02+95.02+95.03</f>
        <v>617.2299999999999</v>
      </c>
      <c r="O17" s="39">
        <f>1+132.32</f>
        <v>133.32</v>
      </c>
      <c r="P17" s="16">
        <f t="shared" si="0"/>
        <v>4798.4000000000005</v>
      </c>
      <c r="Q17" s="30">
        <f>992.53+175.7+200.52</f>
        <v>1368.75</v>
      </c>
      <c r="R17" s="29">
        <f>78.26+3.95+3.95+3.95+3.95</f>
        <v>94.060000000000016</v>
      </c>
      <c r="S17" s="19">
        <f t="shared" si="1"/>
        <v>6073.09</v>
      </c>
    </row>
    <row r="18" spans="1:19" x14ac:dyDescent="0.25">
      <c r="A18" s="40"/>
      <c r="B18" s="40"/>
      <c r="C18" s="40"/>
      <c r="D18" s="20" t="s">
        <v>72</v>
      </c>
      <c r="E18" s="41"/>
      <c r="F18" s="42"/>
      <c r="G18" s="42"/>
      <c r="H18" s="133"/>
      <c r="I18" s="22"/>
      <c r="J18" s="22"/>
      <c r="K18" s="133"/>
      <c r="L18" s="125"/>
      <c r="M18" s="43"/>
      <c r="N18" s="43"/>
      <c r="O18" s="44"/>
      <c r="P18" s="16">
        <f t="shared" si="0"/>
        <v>0</v>
      </c>
      <c r="Q18" s="36"/>
      <c r="R18" s="35"/>
      <c r="S18" s="34">
        <f t="shared" si="1"/>
        <v>0</v>
      </c>
    </row>
    <row r="19" spans="1:19" x14ac:dyDescent="0.25">
      <c r="A19" s="105" t="s">
        <v>7</v>
      </c>
      <c r="B19" s="45" t="s">
        <v>61</v>
      </c>
      <c r="C19" s="45" t="s">
        <v>52</v>
      </c>
      <c r="D19" s="20" t="s">
        <v>52</v>
      </c>
      <c r="E19" s="46">
        <v>41218</v>
      </c>
      <c r="F19" s="47">
        <v>2102.4</v>
      </c>
      <c r="G19" s="48">
        <v>2102.4</v>
      </c>
      <c r="H19" s="48">
        <f>38.54+61.67+173.09</f>
        <v>273.3</v>
      </c>
      <c r="I19" s="48">
        <v>0</v>
      </c>
      <c r="J19" s="48">
        <v>480.02</v>
      </c>
      <c r="K19" s="48"/>
      <c r="L19" s="49"/>
      <c r="M19" s="49">
        <f>191.04+10.8+10.8+10.8+10.8</f>
        <v>234.24000000000004</v>
      </c>
      <c r="N19" s="49"/>
      <c r="O19" s="49">
        <f>1</f>
        <v>1</v>
      </c>
      <c r="P19" s="16">
        <f t="shared" si="0"/>
        <v>2620.48</v>
      </c>
      <c r="Q19" s="49">
        <f>992.53+200.52</f>
        <v>1193.05</v>
      </c>
      <c r="R19" s="49">
        <f>332.54+21.02+1.06+1.06+1.06+1.06</f>
        <v>357.8</v>
      </c>
      <c r="S19" s="25">
        <f t="shared" si="1"/>
        <v>3455.7299999999996</v>
      </c>
    </row>
    <row r="20" spans="1:19" x14ac:dyDescent="0.25">
      <c r="A20" s="105" t="s">
        <v>8</v>
      </c>
      <c r="B20" s="45" t="s">
        <v>61</v>
      </c>
      <c r="C20" s="45" t="s">
        <v>52</v>
      </c>
      <c r="D20" s="45" t="s">
        <v>52</v>
      </c>
      <c r="E20" s="46">
        <v>41548</v>
      </c>
      <c r="F20" s="47">
        <v>2041.16</v>
      </c>
      <c r="G20" s="48">
        <v>2041.16</v>
      </c>
      <c r="H20" s="48">
        <f>102.06+163.29+1336.85</f>
        <v>1602.1999999999998</v>
      </c>
      <c r="I20" s="48">
        <v>0</v>
      </c>
      <c r="J20" s="48">
        <v>466.04</v>
      </c>
      <c r="K20" s="48"/>
      <c r="L20" s="49"/>
      <c r="M20" s="49">
        <f>330.6+13.98+13.98+13.98+13.98</f>
        <v>386.5200000000001</v>
      </c>
      <c r="N20" s="49">
        <f>61.26+17.42+17.42+17.42+17.65</f>
        <v>131.17000000000002</v>
      </c>
      <c r="O20" s="49">
        <f>1+51.03+2.58+2.58+2.58+1.28</f>
        <v>61.05</v>
      </c>
      <c r="P20" s="16">
        <f t="shared" si="0"/>
        <v>3530.6599999999994</v>
      </c>
      <c r="Q20" s="49">
        <f>992.53+205.8+200.52</f>
        <v>1398.85</v>
      </c>
      <c r="R20" s="49">
        <f>20.41+1.03+1.03+1.03+0.52</f>
        <v>24.020000000000003</v>
      </c>
      <c r="S20" s="19">
        <f t="shared" si="1"/>
        <v>4905.4899999999989</v>
      </c>
    </row>
    <row r="21" spans="1:19" x14ac:dyDescent="0.25">
      <c r="A21" s="105" t="s">
        <v>9</v>
      </c>
      <c r="B21" s="45" t="s">
        <v>61</v>
      </c>
      <c r="C21" s="45" t="s">
        <v>53</v>
      </c>
      <c r="D21" s="45" t="s">
        <v>53</v>
      </c>
      <c r="E21" s="46">
        <v>37865</v>
      </c>
      <c r="F21" s="47">
        <v>6897.88</v>
      </c>
      <c r="G21" s="48">
        <f>4828.52+225.5</f>
        <v>5054.0200000000004</v>
      </c>
      <c r="H21" s="48">
        <f>241.43+386.28</f>
        <v>627.71</v>
      </c>
      <c r="I21" s="48"/>
      <c r="J21" s="48">
        <v>1574.88</v>
      </c>
      <c r="K21" s="50"/>
      <c r="L21" s="49"/>
      <c r="M21" s="49">
        <f>514+55.12+55.12+55.12+55.12</f>
        <v>734.48</v>
      </c>
      <c r="N21" s="49">
        <f>486.77+99.52+99.52+99.52+99.53</f>
        <v>884.8599999999999</v>
      </c>
      <c r="O21" s="49">
        <f>1+120.71+132.32+8.71+8.71+8.71+8.71</f>
        <v>288.86999999999989</v>
      </c>
      <c r="P21" s="16">
        <f t="shared" si="0"/>
        <v>5348.4000000000015</v>
      </c>
      <c r="Q21" s="49">
        <f>992.53+363.8+200.52</f>
        <v>1556.85</v>
      </c>
      <c r="R21" s="49">
        <f>68.98+3.49+3.49+3.49+3.49</f>
        <v>82.939999999999984</v>
      </c>
      <c r="S21" s="19">
        <f t="shared" si="1"/>
        <v>6822.3100000000022</v>
      </c>
    </row>
    <row r="22" spans="1:19" x14ac:dyDescent="0.25">
      <c r="A22" s="105" t="s">
        <v>10</v>
      </c>
      <c r="B22" s="45" t="s">
        <v>61</v>
      </c>
      <c r="C22" s="45" t="s">
        <v>49</v>
      </c>
      <c r="D22" s="45" t="s">
        <v>80</v>
      </c>
      <c r="E22" s="46">
        <v>41218</v>
      </c>
      <c r="F22" s="47">
        <v>2950.73</v>
      </c>
      <c r="G22" s="48">
        <v>2950.73</v>
      </c>
      <c r="H22" s="48">
        <f>147.54+1336.85</f>
        <v>1484.3899999999999</v>
      </c>
      <c r="I22" s="48"/>
      <c r="J22" s="48">
        <v>754.07</v>
      </c>
      <c r="K22" s="48"/>
      <c r="L22" s="49"/>
      <c r="M22" s="49">
        <f>430.5+21.92+28.99+21.92+21.91</f>
        <v>525.24</v>
      </c>
      <c r="N22" s="49">
        <f>182.89+27.89+47.1+27.89+28.04</f>
        <v>313.81</v>
      </c>
      <c r="O22" s="49">
        <f>1+73.77+3.73+1.86+3.73+3.1</f>
        <v>87.19</v>
      </c>
      <c r="P22" s="16">
        <f t="shared" si="0"/>
        <v>4262.95</v>
      </c>
      <c r="Q22" s="49">
        <f>992.53+411.6+200.52</f>
        <v>1604.65</v>
      </c>
      <c r="R22" s="49">
        <f>599+121.28+118+256.45+29.51+1.49+0.75+1.49+1.24</f>
        <v>1129.21</v>
      </c>
      <c r="S22" s="19">
        <f t="shared" si="1"/>
        <v>4738.3900000000003</v>
      </c>
    </row>
    <row r="23" spans="1:19" x14ac:dyDescent="0.25">
      <c r="A23" s="105" t="s">
        <v>11</v>
      </c>
      <c r="B23" s="45" t="s">
        <v>64</v>
      </c>
      <c r="C23" s="45" t="s">
        <v>50</v>
      </c>
      <c r="D23" s="45" t="s">
        <v>50</v>
      </c>
      <c r="E23" s="46">
        <v>38908</v>
      </c>
      <c r="F23" s="47">
        <v>7221.29</v>
      </c>
      <c r="G23" s="48">
        <v>7221.29</v>
      </c>
      <c r="H23" s="48">
        <f>361.06+577.7</f>
        <v>938.76</v>
      </c>
      <c r="I23" s="48"/>
      <c r="J23" s="48">
        <v>1786.12</v>
      </c>
      <c r="K23" s="48">
        <v>0</v>
      </c>
      <c r="L23" s="49"/>
      <c r="M23" s="49">
        <f>951.62+57.34+57.34</f>
        <v>1066.3</v>
      </c>
      <c r="N23" s="49">
        <f>1021.45+99.22+99.22+138.64+122.57</f>
        <v>1481.1000000000001</v>
      </c>
      <c r="O23" s="51">
        <f>1+66.16</f>
        <v>67.16</v>
      </c>
      <c r="P23" s="16">
        <f t="shared" si="0"/>
        <v>7331.6100000000006</v>
      </c>
      <c r="Q23" s="49">
        <f>992.53+200.52</f>
        <v>1193.05</v>
      </c>
      <c r="R23" s="49">
        <f>295.12+460.21+72.21+3.64+3.64+2.31+3.16</f>
        <v>840.28999999999985</v>
      </c>
      <c r="S23" s="19">
        <f t="shared" si="1"/>
        <v>7684.37</v>
      </c>
    </row>
    <row r="24" spans="1:19" x14ac:dyDescent="0.25">
      <c r="A24" s="102" t="s">
        <v>12</v>
      </c>
      <c r="B24" s="13" t="s">
        <v>61</v>
      </c>
      <c r="C24" s="13" t="s">
        <v>49</v>
      </c>
      <c r="D24" s="13" t="s">
        <v>49</v>
      </c>
      <c r="E24" s="14">
        <v>35916</v>
      </c>
      <c r="F24" s="26">
        <v>3965.54</v>
      </c>
      <c r="G24" s="27">
        <v>3965.54</v>
      </c>
      <c r="H24" s="27">
        <f>237.93+198.28+317.24</f>
        <v>753.45</v>
      </c>
      <c r="I24" s="27"/>
      <c r="J24" s="27">
        <v>1120.3399999999999</v>
      </c>
      <c r="K24" s="27"/>
      <c r="L24" s="19"/>
      <c r="M24" s="19">
        <f>470.24+33.37+32.26+41.9+33.37</f>
        <v>611.14</v>
      </c>
      <c r="N24" s="19">
        <f>195.16+42.83+56.28+56.34+42.82</f>
        <v>393.43</v>
      </c>
      <c r="O24" s="19">
        <f>1+99.14+5.01+5.01+1.67+5.01</f>
        <v>116.84000000000002</v>
      </c>
      <c r="P24" s="16">
        <f t="shared" si="0"/>
        <v>4717.9199999999992</v>
      </c>
      <c r="Q24" s="19">
        <f>992.53+186.2+200.52</f>
        <v>1379.25</v>
      </c>
      <c r="R24" s="19">
        <f>798.95+1187.02+39.66+2.01+2.01+7.95+0.67+2.01</f>
        <v>2040.2800000000002</v>
      </c>
      <c r="S24" s="19">
        <f t="shared" si="1"/>
        <v>4056.889999999999</v>
      </c>
    </row>
    <row r="25" spans="1:19" x14ac:dyDescent="0.25">
      <c r="A25" s="102" t="s">
        <v>13</v>
      </c>
      <c r="B25" s="13" t="s">
        <v>61</v>
      </c>
      <c r="C25" s="13" t="s">
        <v>54</v>
      </c>
      <c r="D25" s="52" t="s">
        <v>81</v>
      </c>
      <c r="E25" s="14">
        <v>41737</v>
      </c>
      <c r="F25" s="26">
        <v>8305.52</v>
      </c>
      <c r="G25" s="27">
        <f>5537.01+1530.43</f>
        <v>7067.4400000000005</v>
      </c>
      <c r="H25" s="53">
        <f>276.85+553.7+2739.21</f>
        <v>3569.76</v>
      </c>
      <c r="I25" s="54"/>
      <c r="J25" s="27">
        <v>3220.05</v>
      </c>
      <c r="K25" s="27"/>
      <c r="L25" s="19"/>
      <c r="M25" s="19">
        <v>695.47</v>
      </c>
      <c r="N25" s="19">
        <f>1720.97+173.36+245.19+209.27+173.36</f>
        <v>2522.15</v>
      </c>
      <c r="O25" s="29">
        <f>1</f>
        <v>1</v>
      </c>
      <c r="P25" s="16">
        <f t="shared" si="0"/>
        <v>10638.630000000001</v>
      </c>
      <c r="Q25" s="30">
        <f>992.53+200.52</f>
        <v>1193.05</v>
      </c>
      <c r="R25" s="29">
        <v>2893.54</v>
      </c>
      <c r="S25" s="19">
        <f t="shared" si="1"/>
        <v>8938.14</v>
      </c>
    </row>
    <row r="26" spans="1:19" x14ac:dyDescent="0.25">
      <c r="A26" s="103"/>
      <c r="B26" s="20"/>
      <c r="C26" s="20"/>
      <c r="D26" s="55" t="s">
        <v>72</v>
      </c>
      <c r="E26" s="21"/>
      <c r="F26" s="32"/>
      <c r="G26" s="33"/>
      <c r="H26" s="56"/>
      <c r="I26" s="57"/>
      <c r="J26" s="33"/>
      <c r="K26" s="33"/>
      <c r="L26" s="34"/>
      <c r="M26" s="34"/>
      <c r="N26" s="34"/>
      <c r="O26" s="35"/>
      <c r="P26" s="16">
        <f t="shared" si="0"/>
        <v>0</v>
      </c>
      <c r="Q26" s="36"/>
      <c r="R26" s="35"/>
      <c r="S26" s="34">
        <f t="shared" si="1"/>
        <v>0</v>
      </c>
    </row>
    <row r="27" spans="1:19" x14ac:dyDescent="0.25">
      <c r="A27" s="106" t="s">
        <v>14</v>
      </c>
      <c r="B27" s="20" t="s">
        <v>61</v>
      </c>
      <c r="C27" s="58" t="s">
        <v>55</v>
      </c>
      <c r="D27" s="58" t="s">
        <v>82</v>
      </c>
      <c r="E27" s="59">
        <v>42559</v>
      </c>
      <c r="F27" s="60">
        <v>5160.6899999999996</v>
      </c>
      <c r="G27" s="61">
        <v>5160.6899999999996</v>
      </c>
      <c r="H27" s="61">
        <v>1336.85</v>
      </c>
      <c r="I27" s="61"/>
      <c r="J27" s="61">
        <v>1138.1400000000001</v>
      </c>
      <c r="K27" s="61"/>
      <c r="L27" s="34"/>
      <c r="M27" s="34">
        <f>719.23+35.43+35.43+36.49</f>
        <v>826.57999999999993</v>
      </c>
      <c r="N27" s="34">
        <f>628.17+60.47+60.47+63.22+99.31</f>
        <v>911.6400000000001</v>
      </c>
      <c r="O27" s="34">
        <f>1+129.02+10.09+10.09+6.52+3.48</f>
        <v>160.20000000000002</v>
      </c>
      <c r="P27" s="16">
        <f t="shared" si="0"/>
        <v>5737.2599999999993</v>
      </c>
      <c r="Q27" s="34">
        <f>992.53+284+200.52</f>
        <v>1477.05</v>
      </c>
      <c r="R27" s="34">
        <f>822+942.81+122.18+51.61+4.04+4.04+2.61+1.39</f>
        <v>1950.6799999999998</v>
      </c>
      <c r="S27" s="49">
        <f t="shared" si="1"/>
        <v>5263.6299999999992</v>
      </c>
    </row>
    <row r="28" spans="1:19" x14ac:dyDescent="0.25">
      <c r="A28" s="104" t="s">
        <v>15</v>
      </c>
      <c r="B28" s="13" t="s">
        <v>61</v>
      </c>
      <c r="C28" s="13" t="s">
        <v>56</v>
      </c>
      <c r="D28" s="13" t="s">
        <v>56</v>
      </c>
      <c r="E28" s="14">
        <v>36951</v>
      </c>
      <c r="F28" s="38">
        <v>4993.83</v>
      </c>
      <c r="G28" s="38">
        <v>4993.83</v>
      </c>
      <c r="H28" s="38">
        <v>299.63</v>
      </c>
      <c r="I28" s="38"/>
      <c r="J28" s="38">
        <v>1069.56</v>
      </c>
      <c r="K28" s="27"/>
      <c r="L28" s="124"/>
      <c r="M28" s="18">
        <f>550.66+37.43+37.43+37.43+37.43</f>
        <v>700.37999999999977</v>
      </c>
      <c r="N28" s="18">
        <f>379.99+67.13+67.13+67.13+67.12</f>
        <v>648.5</v>
      </c>
      <c r="O28" s="29">
        <v>0</v>
      </c>
      <c r="P28" s="16">
        <f t="shared" si="0"/>
        <v>5014.1400000000003</v>
      </c>
      <c r="Q28" s="62"/>
      <c r="R28" s="29">
        <f>538.56+1086.43+153.8+49.94+2.52+2.52+2.52+2.52</f>
        <v>1838.81</v>
      </c>
      <c r="S28" s="25">
        <f t="shared" si="1"/>
        <v>3175.3300000000004</v>
      </c>
    </row>
    <row r="29" spans="1:19" x14ac:dyDescent="0.25">
      <c r="A29" s="40"/>
      <c r="B29" s="40"/>
      <c r="C29" s="40"/>
      <c r="D29" s="20"/>
      <c r="E29" s="41"/>
      <c r="F29" s="42"/>
      <c r="G29" s="42"/>
      <c r="H29" s="42"/>
      <c r="I29" s="42"/>
      <c r="J29" s="42"/>
      <c r="K29" s="33"/>
      <c r="L29" s="125"/>
      <c r="M29" s="43"/>
      <c r="N29" s="43"/>
      <c r="O29" s="34"/>
      <c r="P29" s="16">
        <f t="shared" si="0"/>
        <v>0</v>
      </c>
      <c r="Q29" s="43"/>
      <c r="R29" s="35"/>
      <c r="S29" s="34"/>
    </row>
    <row r="30" spans="1:19" x14ac:dyDescent="0.25">
      <c r="A30" s="103" t="s">
        <v>16</v>
      </c>
      <c r="B30" s="20" t="s">
        <v>64</v>
      </c>
      <c r="C30" s="20" t="s">
        <v>49</v>
      </c>
      <c r="D30" s="20" t="s">
        <v>49</v>
      </c>
      <c r="E30" s="21">
        <v>35827</v>
      </c>
      <c r="F30" s="32">
        <v>3965.54</v>
      </c>
      <c r="G30" s="33">
        <v>3965.54</v>
      </c>
      <c r="H30" s="33"/>
      <c r="I30" s="33"/>
      <c r="J30" s="33">
        <v>868.01</v>
      </c>
      <c r="K30" s="33"/>
      <c r="L30" s="34"/>
      <c r="M30" s="34">
        <f>369.26+113.5</f>
        <v>482.76</v>
      </c>
      <c r="N30" s="34">
        <f>109.59+165.85</f>
        <v>275.44</v>
      </c>
      <c r="O30" s="34">
        <f>1</f>
        <v>1</v>
      </c>
      <c r="P30" s="16">
        <f t="shared" si="0"/>
        <v>4074.35</v>
      </c>
      <c r="Q30" s="34">
        <f>992.53+200.52</f>
        <v>1193.05</v>
      </c>
      <c r="R30" s="34">
        <f>656.5+39.66+2.01+2.01+0.6+1.4</f>
        <v>702.18</v>
      </c>
      <c r="S30" s="25">
        <f t="shared" si="1"/>
        <v>4565.2199999999993</v>
      </c>
    </row>
    <row r="31" spans="1:19" x14ac:dyDescent="0.25">
      <c r="A31" s="105" t="s">
        <v>17</v>
      </c>
      <c r="B31" s="45" t="s">
        <v>61</v>
      </c>
      <c r="C31" s="45" t="s">
        <v>51</v>
      </c>
      <c r="D31" s="45" t="s">
        <v>51</v>
      </c>
      <c r="E31" s="46">
        <v>38831</v>
      </c>
      <c r="F31" s="47">
        <v>3155</v>
      </c>
      <c r="G31" s="48">
        <v>3155</v>
      </c>
      <c r="H31" s="48"/>
      <c r="I31" s="48"/>
      <c r="J31" s="48">
        <v>637.48</v>
      </c>
      <c r="K31" s="48"/>
      <c r="L31" s="49"/>
      <c r="M31" s="49">
        <f>272+75.85</f>
        <v>347.85</v>
      </c>
      <c r="N31" s="49">
        <f>8.93+73.91</f>
        <v>82.84</v>
      </c>
      <c r="O31" s="49">
        <f>1+78.88+3.99+3.99+3.99+3.99</f>
        <v>95.839999999999975</v>
      </c>
      <c r="P31" s="16">
        <f t="shared" si="0"/>
        <v>3265.95</v>
      </c>
      <c r="Q31" s="49">
        <f>992.53+205.8+200.52</f>
        <v>1398.85</v>
      </c>
      <c r="R31" s="49">
        <f>701.52+31.55+1.59+1.59+5.31+1.59+1.59</f>
        <v>744.74</v>
      </c>
      <c r="S31" s="19">
        <f t="shared" si="1"/>
        <v>3920.0599999999995</v>
      </c>
    </row>
    <row r="32" spans="1:19" x14ac:dyDescent="0.25">
      <c r="A32" s="102" t="s">
        <v>18</v>
      </c>
      <c r="B32" s="13" t="s">
        <v>61</v>
      </c>
      <c r="C32" s="13" t="s">
        <v>54</v>
      </c>
      <c r="D32" s="13" t="s">
        <v>84</v>
      </c>
      <c r="E32" s="14">
        <v>41436</v>
      </c>
      <c r="F32" s="26">
        <v>6416.01</v>
      </c>
      <c r="G32" s="27">
        <v>6416.01</v>
      </c>
      <c r="H32" s="27">
        <f>320.8+513.28+2228.09</f>
        <v>3062.17</v>
      </c>
      <c r="I32" s="48"/>
      <c r="J32" s="27">
        <v>1777.39</v>
      </c>
      <c r="K32" s="27"/>
      <c r="L32" s="19"/>
      <c r="M32" s="19">
        <v>951.62</v>
      </c>
      <c r="N32" s="19">
        <f>1331.8+86.38+150.48+102.54+90.13</f>
        <v>1761.33</v>
      </c>
      <c r="O32" s="19">
        <f>1+160.4+12.54+6.75+6.75+8.1</f>
        <v>195.54</v>
      </c>
      <c r="P32" s="16">
        <f t="shared" si="0"/>
        <v>8347.0799999999981</v>
      </c>
      <c r="Q32" s="19">
        <f>992.53+1554+200.52</f>
        <v>2747.0499999999997</v>
      </c>
      <c r="R32" s="19">
        <f>416.14+801.83+54.98+64.16+5.02+2.7+2.7+3.24</f>
        <v>1350.7700000000002</v>
      </c>
      <c r="S32" s="19">
        <f t="shared" si="1"/>
        <v>9743.3599999999969</v>
      </c>
    </row>
    <row r="33" spans="1:19" x14ac:dyDescent="0.25">
      <c r="A33" s="107" t="s">
        <v>92</v>
      </c>
      <c r="B33" s="66" t="s">
        <v>61</v>
      </c>
      <c r="C33" s="66" t="s">
        <v>93</v>
      </c>
      <c r="D33" s="66" t="s">
        <v>94</v>
      </c>
      <c r="E33" s="67">
        <v>45512</v>
      </c>
      <c r="F33" s="68">
        <v>4108.83</v>
      </c>
      <c r="G33" s="53">
        <f>2739.22+115.3</f>
        <v>2854.52</v>
      </c>
      <c r="H33" s="27"/>
      <c r="I33" s="69"/>
      <c r="J33" s="54">
        <v>830.21</v>
      </c>
      <c r="K33" s="53"/>
      <c r="L33" s="19"/>
      <c r="M33" s="19">
        <f>340.35+24.91+24.91+24.91+24.91</f>
        <v>439.99000000000012</v>
      </c>
      <c r="N33" s="19">
        <f>5.95+14.54+14.54+14.54+14.54</f>
        <v>64.11</v>
      </c>
      <c r="O33" s="29">
        <f>1+68.48+5.19+5.19+5.19+5.19</f>
        <v>90.24</v>
      </c>
      <c r="P33" s="16">
        <f t="shared" si="0"/>
        <v>3090.39</v>
      </c>
      <c r="Q33" s="30">
        <f>992.53+205.8+92.24+200.52</f>
        <v>1491.09</v>
      </c>
      <c r="R33" s="29">
        <f>397.84+154.49</f>
        <v>552.32999999999993</v>
      </c>
      <c r="S33" s="19">
        <f t="shared" si="1"/>
        <v>4029.1499999999996</v>
      </c>
    </row>
    <row r="34" spans="1:19" x14ac:dyDescent="0.25">
      <c r="A34" s="108"/>
      <c r="B34" s="31"/>
      <c r="C34" s="31"/>
      <c r="D34" s="31" t="s">
        <v>73</v>
      </c>
      <c r="E34" s="70"/>
      <c r="F34" s="71"/>
      <c r="G34" s="56"/>
      <c r="H34" s="33"/>
      <c r="I34" s="69"/>
      <c r="J34" s="57"/>
      <c r="K34" s="56"/>
      <c r="L34" s="34"/>
      <c r="M34" s="34"/>
      <c r="N34" s="34"/>
      <c r="O34" s="35"/>
      <c r="P34" s="16">
        <f t="shared" si="0"/>
        <v>0</v>
      </c>
      <c r="Q34" s="36"/>
      <c r="R34" s="35"/>
      <c r="S34" s="34">
        <f t="shared" si="1"/>
        <v>0</v>
      </c>
    </row>
    <row r="35" spans="1:19" x14ac:dyDescent="0.25">
      <c r="A35" s="103" t="s">
        <v>19</v>
      </c>
      <c r="B35" s="20" t="s">
        <v>64</v>
      </c>
      <c r="C35" s="20" t="s">
        <v>50</v>
      </c>
      <c r="D35" s="20" t="s">
        <v>50</v>
      </c>
      <c r="E35" s="21">
        <v>41708</v>
      </c>
      <c r="F35" s="32">
        <v>8305.52</v>
      </c>
      <c r="G35" s="33">
        <v>8305.52</v>
      </c>
      <c r="H35" s="33">
        <v>664.44</v>
      </c>
      <c r="I35" s="48"/>
      <c r="J35" s="33">
        <v>1812.36</v>
      </c>
      <c r="K35" s="33"/>
      <c r="L35" s="34"/>
      <c r="M35" s="34">
        <v>951.62</v>
      </c>
      <c r="N35" s="34">
        <f>1192.04+124.6+124.6+124.6+124.6</f>
        <v>1690.4399999999996</v>
      </c>
      <c r="O35" s="34">
        <f>1+66.16</f>
        <v>67.16</v>
      </c>
      <c r="P35" s="16">
        <f t="shared" si="0"/>
        <v>8073.1000000000013</v>
      </c>
      <c r="Q35" s="34">
        <f>992.53+200.52</f>
        <v>1193.05</v>
      </c>
      <c r="R35" s="34">
        <f>1523.06+407.79+83.06+4.2+4.2+4.2+4.2</f>
        <v>2030.71</v>
      </c>
      <c r="S35" s="25">
        <f t="shared" si="1"/>
        <v>7235.4400000000014</v>
      </c>
    </row>
    <row r="36" spans="1:19" x14ac:dyDescent="0.25">
      <c r="A36" s="109" t="s">
        <v>20</v>
      </c>
      <c r="B36" s="45" t="s">
        <v>61</v>
      </c>
      <c r="C36" s="72" t="s">
        <v>57</v>
      </c>
      <c r="D36" s="72" t="s">
        <v>57</v>
      </c>
      <c r="E36" s="73">
        <v>41830</v>
      </c>
      <c r="F36" s="74">
        <v>8305.52</v>
      </c>
      <c r="G36" s="75">
        <v>8305.52</v>
      </c>
      <c r="H36" s="75">
        <f>415.28+664.44</f>
        <v>1079.72</v>
      </c>
      <c r="I36" s="75"/>
      <c r="J36" s="75">
        <v>1896.3</v>
      </c>
      <c r="K36" s="75"/>
      <c r="L36" s="49"/>
      <c r="M36" s="49">
        <f>951.62</f>
        <v>951.62</v>
      </c>
      <c r="N36" s="49">
        <f>1254.1+130.14+130.88+130.32+130.15</f>
        <v>1775.59</v>
      </c>
      <c r="O36" s="49">
        <f>1</f>
        <v>1</v>
      </c>
      <c r="P36" s="16">
        <f t="shared" si="0"/>
        <v>8553.3299999999981</v>
      </c>
      <c r="Q36" s="49">
        <f>992.53+200.52</f>
        <v>1193.05</v>
      </c>
      <c r="R36" s="49">
        <f>673.95+1647.13+223.76+83.06+4.2+1.26+3.5+4.2</f>
        <v>2641.06</v>
      </c>
      <c r="S36" s="19">
        <f t="shared" si="1"/>
        <v>7105.3199999999979</v>
      </c>
    </row>
    <row r="37" spans="1:19" x14ac:dyDescent="0.25">
      <c r="A37" s="105" t="s">
        <v>21</v>
      </c>
      <c r="B37" s="45" t="s">
        <v>63</v>
      </c>
      <c r="C37" s="45" t="s">
        <v>50</v>
      </c>
      <c r="D37" s="13" t="s">
        <v>50</v>
      </c>
      <c r="E37" s="46">
        <v>39022</v>
      </c>
      <c r="F37" s="47">
        <v>7221.29</v>
      </c>
      <c r="G37" s="48">
        <f>3369.94+210.11</f>
        <v>3580.05</v>
      </c>
      <c r="H37" s="48">
        <v>269.60000000000002</v>
      </c>
      <c r="I37" s="48"/>
      <c r="J37" s="48">
        <v>1575.8</v>
      </c>
      <c r="K37" s="48"/>
      <c r="L37" s="49"/>
      <c r="M37" s="49">
        <f>517.8+55.16+55.16+55.16+55.16</f>
        <v>738.43999999999983</v>
      </c>
      <c r="N37" s="49">
        <f>49.74+61.01+61.01+61.01+61</f>
        <v>293.77</v>
      </c>
      <c r="O37" s="49">
        <f>1+66.16</f>
        <v>67.16</v>
      </c>
      <c r="P37" s="16">
        <f t="shared" si="0"/>
        <v>4326.08</v>
      </c>
      <c r="Q37" s="49">
        <f>992.53+200.52</f>
        <v>1193.05</v>
      </c>
      <c r="R37" s="49">
        <f>72.21+3.64+3.64+3.64+3.64</f>
        <v>86.77</v>
      </c>
      <c r="S37" s="19">
        <f t="shared" si="1"/>
        <v>5432.36</v>
      </c>
    </row>
    <row r="38" spans="1:19" x14ac:dyDescent="0.25">
      <c r="A38" s="104" t="s">
        <v>22</v>
      </c>
      <c r="B38" s="13" t="s">
        <v>61</v>
      </c>
      <c r="C38" s="66" t="s">
        <v>71</v>
      </c>
      <c r="D38" s="13" t="s">
        <v>85</v>
      </c>
      <c r="E38" s="76">
        <v>44565</v>
      </c>
      <c r="F38" s="38">
        <v>8217.64</v>
      </c>
      <c r="G38" s="38">
        <v>8217.64</v>
      </c>
      <c r="H38" s="126"/>
      <c r="I38" s="15"/>
      <c r="J38" s="15">
        <v>1660.4</v>
      </c>
      <c r="K38" s="126"/>
      <c r="L38" s="124"/>
      <c r="M38" s="18">
        <f>951.62+49.69+49.69+49.69+49.69</f>
        <v>1150.3800000000001</v>
      </c>
      <c r="N38" s="18">
        <f>1089.43+100.49+100.49+100.49+100.48</f>
        <v>1491.38</v>
      </c>
      <c r="O38" s="39">
        <f>1</f>
        <v>1</v>
      </c>
      <c r="P38" s="16">
        <f t="shared" si="0"/>
        <v>7235.28</v>
      </c>
      <c r="Q38" s="30">
        <f>992.53+200.52</f>
        <v>1193.05</v>
      </c>
      <c r="R38" s="122"/>
      <c r="S38" s="19">
        <f t="shared" si="1"/>
        <v>8428.33</v>
      </c>
    </row>
    <row r="39" spans="1:19" x14ac:dyDescent="0.25">
      <c r="A39" s="63"/>
      <c r="B39" s="63"/>
      <c r="C39" s="77"/>
      <c r="D39" s="24" t="s">
        <v>73</v>
      </c>
      <c r="E39" s="78"/>
      <c r="F39" s="64"/>
      <c r="G39" s="64"/>
      <c r="H39" s="127"/>
      <c r="I39" s="79"/>
      <c r="J39" s="79"/>
      <c r="K39" s="127"/>
      <c r="L39" s="128"/>
      <c r="M39" s="65"/>
      <c r="N39" s="65"/>
      <c r="O39" s="80"/>
      <c r="P39" s="16">
        <f t="shared" si="0"/>
        <v>0</v>
      </c>
      <c r="Q39" s="81"/>
      <c r="R39" s="123"/>
      <c r="S39" s="25">
        <f t="shared" si="1"/>
        <v>0</v>
      </c>
    </row>
    <row r="40" spans="1:19" x14ac:dyDescent="0.25">
      <c r="A40" s="110" t="s">
        <v>78</v>
      </c>
      <c r="B40" s="13" t="s">
        <v>61</v>
      </c>
      <c r="C40" s="82" t="s">
        <v>57</v>
      </c>
      <c r="D40" s="52" t="s">
        <v>86</v>
      </c>
      <c r="E40" s="67">
        <v>45475</v>
      </c>
      <c r="F40" s="83">
        <v>8217.64</v>
      </c>
      <c r="G40" s="38">
        <v>8217.64</v>
      </c>
      <c r="H40" s="15"/>
      <c r="I40" s="84"/>
      <c r="J40" s="15">
        <v>1660.4</v>
      </c>
      <c r="K40" s="85">
        <v>4930.58</v>
      </c>
      <c r="L40" s="16"/>
      <c r="M40" s="18">
        <f>951.62+499.86+49.69+49.69+49.69+49.69</f>
        <v>1650.2400000000002</v>
      </c>
      <c r="N40" s="18">
        <f>1089.43+297.27+100.49+100.49+100.49+100.48</f>
        <v>1788.65</v>
      </c>
      <c r="O40" s="39">
        <f>1</f>
        <v>1</v>
      </c>
      <c r="P40" s="16">
        <f t="shared" si="0"/>
        <v>11368.73</v>
      </c>
      <c r="Q40" s="30">
        <f>992.53+200.52</f>
        <v>1193.05</v>
      </c>
      <c r="R40" s="86"/>
      <c r="S40" s="19">
        <f t="shared" si="1"/>
        <v>12561.779999999999</v>
      </c>
    </row>
    <row r="41" spans="1:19" x14ac:dyDescent="0.25">
      <c r="A41" s="111"/>
      <c r="B41" s="20"/>
      <c r="C41" s="58"/>
      <c r="D41" s="55" t="s">
        <v>73</v>
      </c>
      <c r="E41" s="70"/>
      <c r="F41" s="87"/>
      <c r="G41" s="42"/>
      <c r="H41" s="22"/>
      <c r="I41" s="88"/>
      <c r="J41" s="22"/>
      <c r="K41" s="89"/>
      <c r="L41" s="23"/>
      <c r="M41" s="43"/>
      <c r="N41" s="43"/>
      <c r="O41" s="44"/>
      <c r="P41" s="16">
        <f t="shared" si="0"/>
        <v>0</v>
      </c>
      <c r="Q41" s="36"/>
      <c r="R41" s="90"/>
      <c r="S41" s="34">
        <f t="shared" si="1"/>
        <v>0</v>
      </c>
    </row>
    <row r="42" spans="1:19" x14ac:dyDescent="0.25">
      <c r="A42" s="103" t="s">
        <v>23</v>
      </c>
      <c r="B42" s="20" t="s">
        <v>61</v>
      </c>
      <c r="C42" s="58" t="s">
        <v>57</v>
      </c>
      <c r="D42" s="58" t="s">
        <v>57</v>
      </c>
      <c r="E42" s="21">
        <v>41730</v>
      </c>
      <c r="F42" s="32">
        <v>8305.52</v>
      </c>
      <c r="G42" s="33">
        <f>2768.51+421.4</f>
        <v>3189.9100000000003</v>
      </c>
      <c r="H42" s="33">
        <f>138.43+221.48</f>
        <v>359.90999999999997</v>
      </c>
      <c r="I42" s="33"/>
      <c r="J42" s="33">
        <v>1896.28</v>
      </c>
      <c r="K42" s="33"/>
      <c r="L42" s="34"/>
      <c r="M42" s="34">
        <v>33.090000000000003</v>
      </c>
      <c r="N42" s="34">
        <f>53.3+92.17+92.17+92.17+92.16</f>
        <v>421.97</v>
      </c>
      <c r="O42" s="34">
        <f>1</f>
        <v>1</v>
      </c>
      <c r="P42" s="16">
        <f t="shared" si="0"/>
        <v>4990.04</v>
      </c>
      <c r="Q42" s="34">
        <f>992.53+210.7+200.52</f>
        <v>1403.75</v>
      </c>
      <c r="R42" s="34">
        <f>334.43</f>
        <v>334.43</v>
      </c>
      <c r="S42" s="25">
        <f t="shared" si="1"/>
        <v>6059.36</v>
      </c>
    </row>
    <row r="43" spans="1:19" x14ac:dyDescent="0.25">
      <c r="A43" s="105" t="s">
        <v>24</v>
      </c>
      <c r="B43" s="45" t="s">
        <v>61</v>
      </c>
      <c r="C43" s="45" t="s">
        <v>49</v>
      </c>
      <c r="D43" s="45" t="s">
        <v>49</v>
      </c>
      <c r="E43" s="46">
        <v>41823</v>
      </c>
      <c r="F43" s="47">
        <v>2864.79</v>
      </c>
      <c r="G43" s="48">
        <v>2864.79</v>
      </c>
      <c r="H43" s="48">
        <f>143.24+229.18</f>
        <v>372.42</v>
      </c>
      <c r="I43" s="48"/>
      <c r="J43" s="48">
        <v>708.6</v>
      </c>
      <c r="K43" s="48"/>
      <c r="L43" s="49"/>
      <c r="M43" s="49">
        <f>281.86+19.62+27.73+19.84+19.62</f>
        <v>368.67</v>
      </c>
      <c r="N43" s="49">
        <f>15.09+21.43+27.04+21.63+21.44</f>
        <v>106.63</v>
      </c>
      <c r="O43" s="49">
        <f>1+71.62+3.62+0.12+3.49+3.62</f>
        <v>83.470000000000013</v>
      </c>
      <c r="P43" s="16">
        <f t="shared" si="0"/>
        <v>3387.04</v>
      </c>
      <c r="Q43" s="49">
        <f>992.53+228.9+200.52</f>
        <v>1421.95</v>
      </c>
      <c r="R43" s="49">
        <f>28.65+1.45+0.05+1.4+1.45</f>
        <v>33</v>
      </c>
      <c r="S43" s="19">
        <f t="shared" si="1"/>
        <v>4775.99</v>
      </c>
    </row>
    <row r="44" spans="1:19" x14ac:dyDescent="0.25">
      <c r="A44" s="105" t="s">
        <v>25</v>
      </c>
      <c r="B44" s="45" t="s">
        <v>61</v>
      </c>
      <c r="C44" s="45" t="s">
        <v>50</v>
      </c>
      <c r="D44" s="45" t="s">
        <v>87</v>
      </c>
      <c r="E44" s="46">
        <v>39295</v>
      </c>
      <c r="F44" s="47">
        <v>9628.0400000000009</v>
      </c>
      <c r="G44" s="48">
        <v>9628.0400000000009</v>
      </c>
      <c r="H44" s="48">
        <f>481.4+770.24+1336.85</f>
        <v>2588.4899999999998</v>
      </c>
      <c r="I44" s="48"/>
      <c r="J44" s="48">
        <v>2170.39</v>
      </c>
      <c r="K44" s="48">
        <v>6108.26</v>
      </c>
      <c r="L44" s="49"/>
      <c r="M44" s="49">
        <f>951.62+664.74</f>
        <v>1616.3600000000001</v>
      </c>
      <c r="N44" s="49">
        <f>2136.98+536.1+146.25+142.72+151.36+150.99</f>
        <v>3264.3999999999996</v>
      </c>
      <c r="O44" s="49">
        <f>1</f>
        <v>1</v>
      </c>
      <c r="P44" s="16">
        <f t="shared" si="0"/>
        <v>15613.42</v>
      </c>
      <c r="Q44" s="49">
        <f>992.53+200.52</f>
        <v>1193.05</v>
      </c>
      <c r="R44" s="49">
        <f>1793.5+413.5+258.99+634.69+117.88+96.28+105.78+7.53+1.25+7.53+4.86+20.16</f>
        <v>3461.9500000000007</v>
      </c>
      <c r="S44" s="19">
        <f t="shared" si="1"/>
        <v>13344.52</v>
      </c>
    </row>
    <row r="45" spans="1:19" x14ac:dyDescent="0.25">
      <c r="A45" s="105" t="s">
        <v>26</v>
      </c>
      <c r="B45" s="45" t="s">
        <v>61</v>
      </c>
      <c r="C45" s="45" t="s">
        <v>58</v>
      </c>
      <c r="D45" s="45" t="s">
        <v>58</v>
      </c>
      <c r="E45" s="46">
        <v>35309</v>
      </c>
      <c r="F45" s="47">
        <v>2840.81</v>
      </c>
      <c r="G45" s="48">
        <v>2840.81</v>
      </c>
      <c r="H45" s="48"/>
      <c r="I45" s="48"/>
      <c r="J45" s="48">
        <v>621.83000000000004</v>
      </c>
      <c r="K45" s="48"/>
      <c r="L45" s="49"/>
      <c r="M45" s="49">
        <f>224.38+14.32+22.77+15.4+14.32</f>
        <v>291.18999999999994</v>
      </c>
      <c r="N45" s="49">
        <f>8.04+10.01+8.07+8.04</f>
        <v>34.159999999999997</v>
      </c>
      <c r="O45" s="49">
        <f>1+71.02+3.59+0.12+3.46+3.59</f>
        <v>82.78</v>
      </c>
      <c r="P45" s="16">
        <f t="shared" si="0"/>
        <v>3054.5099999999998</v>
      </c>
      <c r="Q45" s="49">
        <f>992.53+426+9.26+200.52</f>
        <v>1628.31</v>
      </c>
      <c r="R45" s="49">
        <f>378+236+94.69+33.08+28.41+1.44+0.05+1.39+1.44</f>
        <v>774.50000000000011</v>
      </c>
      <c r="S45" s="19">
        <f t="shared" si="1"/>
        <v>3908.3199999999997</v>
      </c>
    </row>
    <row r="46" spans="1:19" x14ac:dyDescent="0.25">
      <c r="A46" s="105" t="s">
        <v>27</v>
      </c>
      <c r="B46" s="45" t="s">
        <v>61</v>
      </c>
      <c r="C46" s="45" t="s">
        <v>49</v>
      </c>
      <c r="D46" s="45" t="s">
        <v>88</v>
      </c>
      <c r="E46" s="46">
        <v>35829</v>
      </c>
      <c r="F46" s="47">
        <v>3965.54</v>
      </c>
      <c r="G46" s="48">
        <v>3965.54</v>
      </c>
      <c r="H46" s="48">
        <v>1336.85</v>
      </c>
      <c r="I46" s="48"/>
      <c r="J46" s="48">
        <v>958.48</v>
      </c>
      <c r="K46" s="48"/>
      <c r="L46" s="49"/>
      <c r="M46" s="49">
        <f>551.91+28.04+28.04+28.04+36.49</f>
        <v>672.51999999999987</v>
      </c>
      <c r="N46" s="49">
        <f>382.45+46.59+46.59+46.59+79.19</f>
        <v>601.41000000000008</v>
      </c>
      <c r="O46" s="49">
        <f>1+99.14+5.01+5.01+5.01+3.67</f>
        <v>118.84000000000002</v>
      </c>
      <c r="P46" s="16">
        <f t="shared" si="0"/>
        <v>4868.0999999999995</v>
      </c>
      <c r="Q46" s="49">
        <f>992.53+98+200.52</f>
        <v>1291.05</v>
      </c>
      <c r="R46" s="49">
        <f>661.39+137.6+407+720.51+488.68+39.66+2.01+2.01+2.01+1.47</f>
        <v>2462.34</v>
      </c>
      <c r="S46" s="19">
        <f t="shared" si="1"/>
        <v>3696.8099999999995</v>
      </c>
    </row>
    <row r="47" spans="1:19" x14ac:dyDescent="0.25">
      <c r="A47" s="105" t="s">
        <v>28</v>
      </c>
      <c r="B47" s="45" t="s">
        <v>61</v>
      </c>
      <c r="C47" s="45" t="s">
        <v>50</v>
      </c>
      <c r="D47" s="13" t="s">
        <v>50</v>
      </c>
      <c r="E47" s="46">
        <v>41505</v>
      </c>
      <c r="F47" s="47">
        <v>6416.01</v>
      </c>
      <c r="G47" s="48">
        <v>6416.01</v>
      </c>
      <c r="H47" s="48">
        <f>320.8+513.28</f>
        <v>834.07999999999993</v>
      </c>
      <c r="I47" s="48"/>
      <c r="J47" s="48">
        <v>1432.89</v>
      </c>
      <c r="K47" s="48"/>
      <c r="L47" s="49"/>
      <c r="M47" s="49">
        <f>824.59+49.78+49.78+49.78+51.27</f>
        <v>1025.2</v>
      </c>
      <c r="N47" s="49">
        <f>806.15+83.95+84.23+84.11+86.58</f>
        <v>1145.02</v>
      </c>
      <c r="O47" s="49">
        <f>1+33.08</f>
        <v>34.08</v>
      </c>
      <c r="P47" s="16">
        <f t="shared" si="0"/>
        <v>6478.68</v>
      </c>
      <c r="Q47" s="49">
        <f>992.53+200.52</f>
        <v>1193.05</v>
      </c>
      <c r="R47" s="49">
        <f>64.16+5.02+3.84+4.35+3.24</f>
        <v>80.609999999999985</v>
      </c>
      <c r="S47" s="19">
        <f t="shared" si="1"/>
        <v>7591.1200000000008</v>
      </c>
    </row>
    <row r="48" spans="1:19" x14ac:dyDescent="0.25">
      <c r="A48" s="104" t="s">
        <v>29</v>
      </c>
      <c r="B48" s="13" t="s">
        <v>61</v>
      </c>
      <c r="C48" s="66" t="s">
        <v>59</v>
      </c>
      <c r="D48" s="13" t="s">
        <v>89</v>
      </c>
      <c r="E48" s="14">
        <v>44201</v>
      </c>
      <c r="F48" s="38">
        <v>7826.33</v>
      </c>
      <c r="G48" s="38">
        <v>7826.33</v>
      </c>
      <c r="H48" s="126"/>
      <c r="I48" s="15"/>
      <c r="J48" s="15">
        <v>1844.87</v>
      </c>
      <c r="K48" s="126"/>
      <c r="L48" s="124"/>
      <c r="M48" s="18">
        <f>905.27+56.23+55.35+47.96</f>
        <v>1064.81</v>
      </c>
      <c r="N48" s="18">
        <f>942.42+115.19+124.84+85.26+75.37</f>
        <v>1343.08</v>
      </c>
      <c r="O48" s="39">
        <f>1</f>
        <v>1</v>
      </c>
      <c r="P48" s="16">
        <f t="shared" si="0"/>
        <v>7262.3100000000013</v>
      </c>
      <c r="Q48" s="30">
        <f>992.53+200.52</f>
        <v>1193.05</v>
      </c>
      <c r="R48" s="134">
        <f>395.81+114.56+52.71</f>
        <v>563.08000000000004</v>
      </c>
      <c r="S48" s="19">
        <f t="shared" si="1"/>
        <v>7892.2800000000007</v>
      </c>
    </row>
    <row r="49" spans="1:19" x14ac:dyDescent="0.25">
      <c r="A49" s="40"/>
      <c r="B49" s="40"/>
      <c r="C49" s="91"/>
      <c r="D49" s="24" t="s">
        <v>73</v>
      </c>
      <c r="E49" s="41"/>
      <c r="F49" s="42"/>
      <c r="G49" s="42"/>
      <c r="H49" s="133"/>
      <c r="I49" s="22"/>
      <c r="J49" s="22"/>
      <c r="K49" s="133"/>
      <c r="L49" s="125"/>
      <c r="M49" s="43"/>
      <c r="N49" s="43"/>
      <c r="O49" s="44"/>
      <c r="P49" s="16">
        <f t="shared" si="0"/>
        <v>0</v>
      </c>
      <c r="Q49" s="36"/>
      <c r="R49" s="135"/>
      <c r="S49" s="34">
        <f t="shared" si="1"/>
        <v>0</v>
      </c>
    </row>
    <row r="50" spans="1:19" x14ac:dyDescent="0.25">
      <c r="A50" s="105" t="s">
        <v>30</v>
      </c>
      <c r="B50" s="45" t="s">
        <v>61</v>
      </c>
      <c r="C50" s="45" t="s">
        <v>49</v>
      </c>
      <c r="D50" s="45" t="s">
        <v>49</v>
      </c>
      <c r="E50" s="46">
        <v>33581</v>
      </c>
      <c r="F50" s="47">
        <v>3965.54</v>
      </c>
      <c r="G50" s="48">
        <v>3965.54</v>
      </c>
      <c r="H50" s="48"/>
      <c r="I50" s="48"/>
      <c r="J50" s="48">
        <v>801.25</v>
      </c>
      <c r="K50" s="48"/>
      <c r="L50" s="49"/>
      <c r="M50" s="49">
        <f>369.26+24.03+24.03+24.03+24.03</f>
        <v>465.37999999999988</v>
      </c>
      <c r="N50" s="49">
        <f>109.59+37.56+37.56+38.16+37.55</f>
        <v>260.42</v>
      </c>
      <c r="O50" s="49">
        <f>1+99.14+5.01+5.01+2.5+5.01</f>
        <v>117.67000000000002</v>
      </c>
      <c r="P50" s="16">
        <f t="shared" si="0"/>
        <v>3923.3199999999997</v>
      </c>
      <c r="Q50" s="49">
        <f>992.53+205.8+200.52</f>
        <v>1398.85</v>
      </c>
      <c r="R50" s="49">
        <f>701.52+31.89+39.66+2.01+2.01+1+2.01</f>
        <v>780.09999999999991</v>
      </c>
      <c r="S50" s="25">
        <f t="shared" si="1"/>
        <v>4542.07</v>
      </c>
    </row>
    <row r="51" spans="1:19" x14ac:dyDescent="0.25">
      <c r="A51" s="105" t="s">
        <v>31</v>
      </c>
      <c r="B51" s="45" t="s">
        <v>61</v>
      </c>
      <c r="C51" s="45" t="s">
        <v>49</v>
      </c>
      <c r="D51" s="45" t="s">
        <v>60</v>
      </c>
      <c r="E51" s="46">
        <v>35339</v>
      </c>
      <c r="F51" s="47">
        <v>3965.54</v>
      </c>
      <c r="G51" s="48">
        <v>3965.54</v>
      </c>
      <c r="H51" s="48">
        <v>1336.85</v>
      </c>
      <c r="I51" s="48"/>
      <c r="J51" s="48">
        <v>801.24</v>
      </c>
      <c r="K51" s="48"/>
      <c r="L51" s="49"/>
      <c r="M51" s="49">
        <f>527.17+28.04+28.04+28.04+28.04</f>
        <v>639.32999999999981</v>
      </c>
      <c r="N51" s="49">
        <f>340.65+51.18+51.18+51.18+51.16</f>
        <v>545.35</v>
      </c>
      <c r="O51" s="49">
        <f>1+99.14+5.01+5.01+5.01+5.01</f>
        <v>120.18000000000002</v>
      </c>
      <c r="P51" s="16">
        <f t="shared" si="0"/>
        <v>4798.7699999999986</v>
      </c>
      <c r="Q51" s="49">
        <f>992.53+194+200.52</f>
        <v>1387.05</v>
      </c>
      <c r="R51" s="49">
        <f>875.99+141.99+195+176.75+33.08+39.66+2.01+2.01+2.01+2.01</f>
        <v>1470.51</v>
      </c>
      <c r="S51" s="19">
        <f t="shared" si="1"/>
        <v>4715.3099999999986</v>
      </c>
    </row>
    <row r="52" spans="1:19" x14ac:dyDescent="0.25">
      <c r="A52" s="105" t="s">
        <v>32</v>
      </c>
      <c r="B52" s="45" t="s">
        <v>61</v>
      </c>
      <c r="C52" s="45" t="s">
        <v>49</v>
      </c>
      <c r="D52" s="45" t="s">
        <v>49</v>
      </c>
      <c r="E52" s="46">
        <v>31761</v>
      </c>
      <c r="F52" s="47">
        <v>4874.03</v>
      </c>
      <c r="G52" s="48">
        <v>4874.03</v>
      </c>
      <c r="H52" s="48">
        <f>292.44+243.7</f>
        <v>536.14</v>
      </c>
      <c r="I52" s="48"/>
      <c r="J52" s="48">
        <v>1275.3</v>
      </c>
      <c r="K52" s="48">
        <v>901.7</v>
      </c>
      <c r="L52" s="49"/>
      <c r="M52" s="49">
        <f>567+67.62+38.26+38.26+46.76+38.26</f>
        <v>796.16</v>
      </c>
      <c r="N52" s="49">
        <f>371.57+58.64+58.64+96.39+58.65</f>
        <v>643.89</v>
      </c>
      <c r="O52" s="49">
        <f>1+121.85+6.15+6.15+3.08+6.15</f>
        <v>144.38000000000002</v>
      </c>
      <c r="P52" s="16">
        <f t="shared" si="0"/>
        <v>6002.74</v>
      </c>
      <c r="Q52" s="49">
        <f>992.53+156.8+200.52</f>
        <v>1349.85</v>
      </c>
      <c r="R52" s="49">
        <f>346.36+175.78+67.2+48.74+11.2+2.46+2.46+1.23+2.46</f>
        <v>657.89000000000021</v>
      </c>
      <c r="S52" s="19">
        <f t="shared" si="1"/>
        <v>6694.7</v>
      </c>
    </row>
    <row r="53" spans="1:19" x14ac:dyDescent="0.25">
      <c r="A53" s="105" t="s">
        <v>33</v>
      </c>
      <c r="B53" s="45" t="s">
        <v>61</v>
      </c>
      <c r="C53" s="45" t="s">
        <v>49</v>
      </c>
      <c r="D53" s="45" t="s">
        <v>49</v>
      </c>
      <c r="E53" s="46">
        <v>41218</v>
      </c>
      <c r="F53" s="47">
        <v>2950.73</v>
      </c>
      <c r="G53" s="48">
        <v>2950.73</v>
      </c>
      <c r="H53" s="48"/>
      <c r="I53" s="48"/>
      <c r="J53" s="48">
        <v>645.89</v>
      </c>
      <c r="K53" s="48"/>
      <c r="L53" s="49"/>
      <c r="M53" s="49">
        <f>247.49+23.85+17.89+17.89+17.89</f>
        <v>325.01</v>
      </c>
      <c r="N53" s="49">
        <f>16.02+12.68+12.87+12.68</f>
        <v>54.25</v>
      </c>
      <c r="O53" s="49">
        <f>1+73.77+1.86+3.73+1.86+3.73</f>
        <v>85.95</v>
      </c>
      <c r="P53" s="16">
        <f t="shared" si="0"/>
        <v>3131.41</v>
      </c>
      <c r="Q53" s="49">
        <f>992.53+196+200.52</f>
        <v>1389.05</v>
      </c>
      <c r="R53" s="49">
        <f>395.81+29.51+0.75+1.49+0.75+1.49</f>
        <v>429.8</v>
      </c>
      <c r="S53" s="19">
        <f t="shared" si="1"/>
        <v>4090.66</v>
      </c>
    </row>
    <row r="54" spans="1:19" x14ac:dyDescent="0.25">
      <c r="A54" s="105" t="s">
        <v>34</v>
      </c>
      <c r="B54" s="45" t="s">
        <v>61</v>
      </c>
      <c r="C54" s="45" t="s">
        <v>50</v>
      </c>
      <c r="D54" s="45" t="s">
        <v>50</v>
      </c>
      <c r="E54" s="46">
        <v>42982</v>
      </c>
      <c r="F54" s="47">
        <v>5871.61</v>
      </c>
      <c r="G54" s="48">
        <f>2740.08+238.33</f>
        <v>2978.41</v>
      </c>
      <c r="H54" s="48">
        <f>137+219.21</f>
        <v>356.21000000000004</v>
      </c>
      <c r="I54" s="48"/>
      <c r="J54" s="48">
        <v>1452.3</v>
      </c>
      <c r="K54" s="48"/>
      <c r="L54" s="49"/>
      <c r="M54" s="49">
        <f>396.07+46.92+46.92+46.92</f>
        <v>536.83000000000004</v>
      </c>
      <c r="N54" s="49">
        <f>26.51+78.41+53.34+53.34+53.35</f>
        <v>264.95</v>
      </c>
      <c r="O54" s="49">
        <f>1</f>
        <v>1</v>
      </c>
      <c r="P54" s="16">
        <f t="shared" si="0"/>
        <v>3984.1400000000003</v>
      </c>
      <c r="Q54" s="49">
        <f>992.53+200.52</f>
        <v>1193.05</v>
      </c>
      <c r="R54" s="49">
        <f>58.72+3.96+2.97+2.97+2.97</f>
        <v>71.59</v>
      </c>
      <c r="S54" s="19">
        <f t="shared" si="1"/>
        <v>5105.6000000000004</v>
      </c>
    </row>
    <row r="55" spans="1:19" x14ac:dyDescent="0.25">
      <c r="A55" s="105" t="s">
        <v>35</v>
      </c>
      <c r="B55" s="45" t="s">
        <v>61</v>
      </c>
      <c r="C55" s="45" t="s">
        <v>53</v>
      </c>
      <c r="D55" s="45" t="s">
        <v>53</v>
      </c>
      <c r="E55" s="46">
        <v>41823</v>
      </c>
      <c r="F55" s="47">
        <v>4983.3100000000004</v>
      </c>
      <c r="G55" s="48">
        <f>4817.2+15.8</f>
        <v>4833</v>
      </c>
      <c r="H55" s="48">
        <f>240.86+385.38</f>
        <v>626.24</v>
      </c>
      <c r="I55" s="48"/>
      <c r="J55" s="48">
        <v>1226.26</v>
      </c>
      <c r="K55" s="48"/>
      <c r="L55" s="49"/>
      <c r="M55" s="49">
        <f>586.57+39.82+39.82+39.82+52.21</f>
        <v>758.24000000000024</v>
      </c>
      <c r="N55" s="49">
        <f>425.3+69.14+69.14+69.14+88.55</f>
        <v>721.27</v>
      </c>
      <c r="O55" s="49">
        <f>1+120.43+66.16+6.29+6.29+6.29+3.35</f>
        <v>209.80999999999997</v>
      </c>
      <c r="P55" s="16">
        <f t="shared" si="0"/>
        <v>4996.1799999999994</v>
      </c>
      <c r="Q55" s="49">
        <f>992.53+186.2+200.52</f>
        <v>1379.25</v>
      </c>
      <c r="R55" s="49">
        <f>49.83+2.51+2.51+2.51+1.34</f>
        <v>58.699999999999996</v>
      </c>
      <c r="S55" s="19">
        <f t="shared" si="1"/>
        <v>6316.73</v>
      </c>
    </row>
    <row r="56" spans="1:19" x14ac:dyDescent="0.25">
      <c r="A56" s="105" t="s">
        <v>36</v>
      </c>
      <c r="B56" s="45" t="s">
        <v>61</v>
      </c>
      <c r="C56" s="45" t="s">
        <v>50</v>
      </c>
      <c r="D56" s="13" t="s">
        <v>50</v>
      </c>
      <c r="E56" s="46">
        <v>41708</v>
      </c>
      <c r="F56" s="47">
        <v>6229.13</v>
      </c>
      <c r="G56" s="48">
        <v>6229.13</v>
      </c>
      <c r="H56" s="48">
        <f>311.46+498.33</f>
        <v>809.79</v>
      </c>
      <c r="I56" s="48"/>
      <c r="J56" s="48">
        <v>1422.24</v>
      </c>
      <c r="K56" s="48"/>
      <c r="L56" s="49"/>
      <c r="M56" s="49">
        <v>0</v>
      </c>
      <c r="N56" s="49">
        <f>859.99+97.59+97.59+98.35+97.59</f>
        <v>1251.1099999999999</v>
      </c>
      <c r="O56" s="49">
        <f>1+33.08</f>
        <v>34.08</v>
      </c>
      <c r="P56" s="16">
        <f t="shared" si="0"/>
        <v>7175.97</v>
      </c>
      <c r="Q56" s="49">
        <f>992.53+200.52</f>
        <v>1193.05</v>
      </c>
      <c r="R56" s="49">
        <f>62.29+3.15+3.15+3.15</f>
        <v>71.740000000000009</v>
      </c>
      <c r="S56" s="19">
        <f t="shared" si="1"/>
        <v>8297.2800000000007</v>
      </c>
    </row>
    <row r="57" spans="1:19" x14ac:dyDescent="0.25">
      <c r="A57" s="104" t="s">
        <v>37</v>
      </c>
      <c r="B57" s="13" t="s">
        <v>61</v>
      </c>
      <c r="C57" s="66" t="s">
        <v>50</v>
      </c>
      <c r="D57" s="13" t="s">
        <v>90</v>
      </c>
      <c r="E57" s="76">
        <v>36739</v>
      </c>
      <c r="F57" s="38">
        <v>10836.44</v>
      </c>
      <c r="G57" s="38">
        <v>10836.44</v>
      </c>
      <c r="H57" s="38">
        <f>541.82+866.92+3913.16</f>
        <v>5321.9</v>
      </c>
      <c r="I57" s="38"/>
      <c r="J57" s="38">
        <v>3264.84</v>
      </c>
      <c r="K57" s="38">
        <v>21280.91</v>
      </c>
      <c r="L57" s="124"/>
      <c r="M57" s="19">
        <f>951.62+951.62</f>
        <v>1903.24</v>
      </c>
      <c r="N57" s="18">
        <f>3273.12+4681.82+224.46+224.46+224.46+224.45</f>
        <v>8852.7699999999986</v>
      </c>
      <c r="O57" s="39">
        <f>1</f>
        <v>1</v>
      </c>
      <c r="P57" s="16">
        <f t="shared" si="0"/>
        <v>29947.08</v>
      </c>
      <c r="Q57" s="30">
        <f>992.53+200.52</f>
        <v>1193.05</v>
      </c>
      <c r="R57" s="39">
        <f>108.36+5.47+5.47+5.47+5.47</f>
        <v>130.24</v>
      </c>
      <c r="S57" s="19">
        <f t="shared" si="1"/>
        <v>31009.89</v>
      </c>
    </row>
    <row r="58" spans="1:19" x14ac:dyDescent="0.25">
      <c r="A58" s="40"/>
      <c r="B58" s="40"/>
      <c r="C58" s="91"/>
      <c r="D58" s="20" t="s">
        <v>72</v>
      </c>
      <c r="E58" s="92"/>
      <c r="F58" s="42"/>
      <c r="G58" s="42"/>
      <c r="H58" s="42"/>
      <c r="I58" s="42"/>
      <c r="J58" s="42"/>
      <c r="K58" s="42"/>
      <c r="L58" s="125"/>
      <c r="M58" s="34"/>
      <c r="N58" s="43"/>
      <c r="O58" s="44"/>
      <c r="P58" s="16">
        <f t="shared" si="0"/>
        <v>0</v>
      </c>
      <c r="Q58" s="36"/>
      <c r="R58" s="44"/>
      <c r="S58" s="34">
        <f t="shared" si="1"/>
        <v>0</v>
      </c>
    </row>
    <row r="59" spans="1:19" x14ac:dyDescent="0.25">
      <c r="A59" s="102" t="s">
        <v>38</v>
      </c>
      <c r="B59" s="13" t="s">
        <v>62</v>
      </c>
      <c r="C59" s="13" t="s">
        <v>50</v>
      </c>
      <c r="D59" s="24" t="s">
        <v>50</v>
      </c>
      <c r="E59" s="14">
        <v>36342</v>
      </c>
      <c r="F59" s="26">
        <v>8127.61</v>
      </c>
      <c r="G59" s="27">
        <v>8127.61</v>
      </c>
      <c r="H59" s="27">
        <v>650.21</v>
      </c>
      <c r="I59" s="48"/>
      <c r="J59" s="27">
        <v>1773.6</v>
      </c>
      <c r="K59" s="27"/>
      <c r="L59" s="19"/>
      <c r="M59" s="19">
        <v>951.62</v>
      </c>
      <c r="N59" s="19">
        <f>1191.34+121.86+122.17+121.86+121.85</f>
        <v>1679.0799999999997</v>
      </c>
      <c r="O59" s="19">
        <f>1+66.16</f>
        <v>67.16</v>
      </c>
      <c r="P59" s="16">
        <f t="shared" si="0"/>
        <v>7853.5599999999995</v>
      </c>
      <c r="Q59" s="19">
        <f>992.53+200.52</f>
        <v>1193.05</v>
      </c>
      <c r="R59" s="19">
        <f>81.28+4.11+2.87+4.11+4.11</f>
        <v>96.48</v>
      </c>
      <c r="S59" s="25">
        <f t="shared" si="1"/>
        <v>8950.1299999999992</v>
      </c>
    </row>
    <row r="60" spans="1:19" x14ac:dyDescent="0.25">
      <c r="A60" s="112" t="s">
        <v>98</v>
      </c>
      <c r="B60" s="66" t="s">
        <v>61</v>
      </c>
      <c r="C60" s="94" t="s">
        <v>99</v>
      </c>
      <c r="D60" s="66" t="s">
        <v>100</v>
      </c>
      <c r="E60" s="67">
        <v>45607</v>
      </c>
      <c r="F60" s="68">
        <v>4108.83</v>
      </c>
      <c r="G60" s="53">
        <v>4108.83</v>
      </c>
      <c r="H60" s="27"/>
      <c r="I60" s="69"/>
      <c r="J60" s="54">
        <v>830.2</v>
      </c>
      <c r="K60" s="53"/>
      <c r="L60" s="29"/>
      <c r="M60" s="29">
        <f>386.46+24.91+24.91+24.91+24.91</f>
        <v>486.10000000000008</v>
      </c>
      <c r="N60" s="29">
        <f>131.08+42.02+42.02+42.02+42.03</f>
        <v>299.17000000000007</v>
      </c>
      <c r="O60" s="29">
        <f>1+102.72+66.16+5.19+5.19+5.19+5.19</f>
        <v>190.64</v>
      </c>
      <c r="P60" s="16">
        <f t="shared" si="0"/>
        <v>3963.1199999999994</v>
      </c>
      <c r="Q60" s="29">
        <f>992.53+186.2+200.52</f>
        <v>1379.25</v>
      </c>
      <c r="R60" s="29">
        <v>0</v>
      </c>
      <c r="S60" s="19">
        <f t="shared" ref="S60" si="2">P60+Q60-R60</f>
        <v>5342.369999999999</v>
      </c>
    </row>
    <row r="61" spans="1:19" x14ac:dyDescent="0.25">
      <c r="A61" s="93"/>
      <c r="B61" s="31"/>
      <c r="C61" s="95"/>
      <c r="D61" s="31" t="s">
        <v>73</v>
      </c>
      <c r="E61" s="97"/>
      <c r="F61" s="97"/>
      <c r="G61" s="97"/>
      <c r="H61" s="96"/>
      <c r="I61" s="98"/>
      <c r="J61" s="121"/>
      <c r="K61" s="99"/>
      <c r="L61" s="100"/>
      <c r="M61" s="100"/>
      <c r="N61" s="100"/>
      <c r="O61" s="100"/>
      <c r="P61" s="100"/>
      <c r="Q61" s="100"/>
      <c r="R61" s="100"/>
      <c r="S61" s="101"/>
    </row>
    <row r="62" spans="1:1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S62" s="12"/>
    </row>
    <row r="63" spans="1:19" x14ac:dyDescent="0.25">
      <c r="A63" s="4" t="s">
        <v>74</v>
      </c>
      <c r="B63" s="5"/>
      <c r="C63" s="5"/>
      <c r="D63" s="5"/>
      <c r="L63" s="1"/>
      <c r="S63" s="120"/>
    </row>
    <row r="64" spans="1:19" x14ac:dyDescent="0.25">
      <c r="A64" s="4" t="s">
        <v>75</v>
      </c>
      <c r="B64" s="5"/>
      <c r="C64" s="5"/>
      <c r="D64" s="5"/>
      <c r="Q64" s="6"/>
    </row>
    <row r="65" spans="1:19" x14ac:dyDescent="0.25">
      <c r="A65" s="4" t="s">
        <v>76</v>
      </c>
      <c r="B65" s="5"/>
      <c r="C65" s="5"/>
      <c r="D65" s="5"/>
      <c r="S65" s="11"/>
    </row>
    <row r="66" spans="1:19" x14ac:dyDescent="0.25">
      <c r="A66" s="4" t="s">
        <v>103</v>
      </c>
      <c r="Q66" s="6"/>
      <c r="R66" s="6"/>
      <c r="S66" s="11"/>
    </row>
    <row r="67" spans="1:19" x14ac:dyDescent="0.25">
      <c r="Q67" s="6"/>
      <c r="R67" s="6"/>
      <c r="S67" s="11"/>
    </row>
    <row r="68" spans="1:19" x14ac:dyDescent="0.25">
      <c r="Q68" s="6"/>
      <c r="R68" s="6"/>
      <c r="S68" s="10"/>
    </row>
    <row r="69" spans="1:19" x14ac:dyDescent="0.25">
      <c r="Q69" s="7"/>
      <c r="R69" s="6"/>
      <c r="S69" s="10"/>
    </row>
    <row r="70" spans="1:19" x14ac:dyDescent="0.25">
      <c r="P70" s="118"/>
      <c r="Q70" s="119"/>
      <c r="R70" s="6"/>
      <c r="S70" s="10"/>
    </row>
    <row r="71" spans="1:19" x14ac:dyDescent="0.25">
      <c r="D71" s="118"/>
      <c r="P71" s="118"/>
      <c r="Q71" s="119"/>
      <c r="R71" s="6"/>
      <c r="S71" s="1"/>
    </row>
    <row r="72" spans="1:19" x14ac:dyDescent="0.25">
      <c r="D72" s="118"/>
      <c r="P72" s="118"/>
      <c r="Q72" s="119"/>
      <c r="R72" s="6"/>
      <c r="S72" s="1"/>
    </row>
    <row r="73" spans="1:19" x14ac:dyDescent="0.25">
      <c r="D73" s="118"/>
      <c r="P73" s="118"/>
      <c r="Q73" s="119"/>
      <c r="R73" s="6"/>
      <c r="S73" s="1"/>
    </row>
    <row r="74" spans="1:19" x14ac:dyDescent="0.25">
      <c r="P74" s="118"/>
      <c r="Q74" s="119"/>
      <c r="R74" s="6"/>
      <c r="S74" s="1"/>
    </row>
    <row r="75" spans="1:19" x14ac:dyDescent="0.25">
      <c r="Q75" s="6"/>
      <c r="R75" s="6"/>
      <c r="S75" s="1"/>
    </row>
    <row r="76" spans="1:19" x14ac:dyDescent="0.25">
      <c r="D76" s="6"/>
      <c r="Q76" s="6"/>
      <c r="R76" s="6"/>
      <c r="S76" s="1"/>
    </row>
    <row r="77" spans="1:19" x14ac:dyDescent="0.25">
      <c r="P77" s="6"/>
      <c r="S77" s="11"/>
    </row>
    <row r="78" spans="1:19" x14ac:dyDescent="0.25">
      <c r="N78" s="6"/>
      <c r="Q78" s="1"/>
      <c r="R78" s="1"/>
      <c r="S78" s="11"/>
    </row>
    <row r="79" spans="1:19" x14ac:dyDescent="0.25">
      <c r="S79" s="11"/>
    </row>
    <row r="80" spans="1:19" x14ac:dyDescent="0.25">
      <c r="S80" s="11"/>
    </row>
    <row r="81" spans="19:21" x14ac:dyDescent="0.25">
      <c r="S81" s="11"/>
      <c r="U81" s="1"/>
    </row>
    <row r="82" spans="19:21" x14ac:dyDescent="0.25">
      <c r="S82" s="10"/>
    </row>
    <row r="83" spans="19:21" x14ac:dyDescent="0.25">
      <c r="S83" s="10"/>
    </row>
    <row r="84" spans="19:21" x14ac:dyDescent="0.25">
      <c r="S84" s="10"/>
    </row>
    <row r="85" spans="19:21" x14ac:dyDescent="0.25">
      <c r="S85" s="10"/>
    </row>
    <row r="86" spans="19:21" x14ac:dyDescent="0.25">
      <c r="S86" s="10"/>
    </row>
    <row r="87" spans="19:21" x14ac:dyDescent="0.25">
      <c r="S87" s="10"/>
    </row>
    <row r="89" spans="19:21" x14ac:dyDescent="0.25">
      <c r="S89" s="1"/>
    </row>
  </sheetData>
  <mergeCells count="17">
    <mergeCell ref="L57:L58"/>
    <mergeCell ref="H48:H49"/>
    <mergeCell ref="K48:K49"/>
    <mergeCell ref="L48:L49"/>
    <mergeCell ref="R48:R49"/>
    <mergeCell ref="K8:L8"/>
    <mergeCell ref="A7:S7"/>
    <mergeCell ref="H17:H18"/>
    <mergeCell ref="K17:K18"/>
    <mergeCell ref="L17:L18"/>
    <mergeCell ref="G8:H8"/>
    <mergeCell ref="M8:N8"/>
    <mergeCell ref="R38:R39"/>
    <mergeCell ref="L28:L29"/>
    <mergeCell ref="H38:H39"/>
    <mergeCell ref="K38:K39"/>
    <mergeCell ref="L38:L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2025-10-02T19:06:34Z</dcterms:modified>
</cp:coreProperties>
</file>