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N:\Contabilidade.2025\Contabilidade Kléber\Folha de Pagamento\LAI\"/>
    </mc:Choice>
  </mc:AlternateContent>
  <xr:revisionPtr revIDLastSave="0" documentId="13_ncr:1_{29E51498-057D-45B8-A60D-F9D80BC7B4C0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Outubro-2025" sheetId="5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4" i="55" l="1"/>
  <c r="L42" i="55"/>
  <c r="Q53" i="55"/>
  <c r="M53" i="55"/>
  <c r="L53" i="55"/>
  <c r="Q29" i="55"/>
  <c r="L29" i="55"/>
  <c r="P62" i="55"/>
  <c r="N62" i="55"/>
  <c r="Q61" i="55"/>
  <c r="P61" i="55"/>
  <c r="N61" i="55"/>
  <c r="Q59" i="55"/>
  <c r="P59" i="55"/>
  <c r="N59" i="55"/>
  <c r="H59" i="55"/>
  <c r="G59" i="55"/>
  <c r="Q58" i="55"/>
  <c r="P58" i="55"/>
  <c r="N58" i="55"/>
  <c r="Q57" i="55"/>
  <c r="P57" i="55"/>
  <c r="N57" i="55"/>
  <c r="H57" i="55"/>
  <c r="G56" i="55"/>
  <c r="Q56" i="55"/>
  <c r="P56" i="55"/>
  <c r="N56" i="55"/>
  <c r="H56" i="55"/>
  <c r="Q55" i="55"/>
  <c r="P55" i="55"/>
  <c r="N55" i="55"/>
  <c r="Q54" i="55"/>
  <c r="P54" i="55"/>
  <c r="N54" i="55"/>
  <c r="H54" i="55"/>
  <c r="P53" i="55"/>
  <c r="N53" i="55"/>
  <c r="H53" i="55"/>
  <c r="Q52" i="55"/>
  <c r="P52" i="55"/>
  <c r="N52" i="55"/>
  <c r="Q50" i="55"/>
  <c r="P50" i="55"/>
  <c r="M50" i="55"/>
  <c r="Q49" i="55"/>
  <c r="P49" i="55"/>
  <c r="N49" i="55"/>
  <c r="Q48" i="55"/>
  <c r="P48" i="55"/>
  <c r="N48" i="55"/>
  <c r="Q47" i="55"/>
  <c r="P47" i="55"/>
  <c r="N47" i="55"/>
  <c r="Q46" i="55"/>
  <c r="P46" i="55"/>
  <c r="N46" i="55"/>
  <c r="H46" i="55"/>
  <c r="Q45" i="55"/>
  <c r="P45" i="55"/>
  <c r="N45" i="55"/>
  <c r="Q44" i="55"/>
  <c r="P44" i="55"/>
  <c r="H44" i="55"/>
  <c r="P42" i="55"/>
  <c r="P40" i="55"/>
  <c r="N40" i="55"/>
  <c r="Q39" i="55"/>
  <c r="P39" i="55"/>
  <c r="N39" i="55"/>
  <c r="G39" i="55"/>
  <c r="Q38" i="55"/>
  <c r="P38" i="55"/>
  <c r="Q37" i="55"/>
  <c r="P37" i="55"/>
  <c r="N37" i="55"/>
  <c r="P35" i="55"/>
  <c r="Q35" i="55"/>
  <c r="N35" i="55"/>
  <c r="Q34" i="55"/>
  <c r="P34" i="55"/>
  <c r="N34" i="55"/>
  <c r="Q33" i="55"/>
  <c r="P33" i="55"/>
  <c r="N33" i="55"/>
  <c r="Q32" i="55"/>
  <c r="P32" i="55"/>
  <c r="L32" i="55"/>
  <c r="Q30" i="55"/>
  <c r="P29" i="55"/>
  <c r="N29" i="55"/>
  <c r="P27" i="55"/>
  <c r="H27" i="55"/>
  <c r="Q26" i="55"/>
  <c r="P26" i="55"/>
  <c r="N26" i="55"/>
  <c r="L26" i="55"/>
  <c r="Q25" i="55"/>
  <c r="P25" i="55"/>
  <c r="N25" i="55"/>
  <c r="M25" i="55"/>
  <c r="L25" i="55"/>
  <c r="Q24" i="55"/>
  <c r="P24" i="55"/>
  <c r="N24" i="55"/>
  <c r="H24" i="55"/>
  <c r="G24" i="55"/>
  <c r="G23" i="55"/>
  <c r="Q23" i="55"/>
  <c r="P23" i="55"/>
  <c r="N23" i="55"/>
  <c r="M23" i="55"/>
  <c r="L23" i="55"/>
  <c r="H23" i="55"/>
  <c r="R21" i="55"/>
  <c r="P21" i="55"/>
  <c r="O21" i="55"/>
  <c r="N21" i="55"/>
  <c r="Q20" i="55"/>
  <c r="P20" i="55"/>
  <c r="N20" i="55"/>
  <c r="L20" i="55"/>
  <c r="H20" i="55"/>
  <c r="Q19" i="55"/>
  <c r="P19" i="55"/>
  <c r="L19" i="55"/>
  <c r="H19" i="55"/>
  <c r="Q17" i="55"/>
  <c r="P17" i="55"/>
  <c r="N17" i="55"/>
  <c r="G17" i="55"/>
  <c r="Q16" i="55"/>
  <c r="P16" i="55"/>
  <c r="N16" i="55"/>
  <c r="O16" i="55" s="1"/>
  <c r="Q14" i="55"/>
  <c r="P14" i="55"/>
  <c r="N14" i="55"/>
  <c r="P12" i="55"/>
  <c r="N12" i="55"/>
  <c r="M12" i="55"/>
  <c r="L12" i="55"/>
  <c r="N10" i="55"/>
  <c r="Q10" i="55"/>
  <c r="P10" i="55"/>
  <c r="O63" i="55"/>
  <c r="O60" i="55"/>
  <c r="O51" i="55"/>
  <c r="O43" i="55"/>
  <c r="O41" i="55"/>
  <c r="O36" i="55"/>
  <c r="O31" i="55"/>
  <c r="O28" i="55"/>
  <c r="O18" i="55"/>
  <c r="O15" i="55"/>
  <c r="O14" i="55"/>
  <c r="O13" i="55"/>
  <c r="M10" i="55"/>
  <c r="O20" i="55" l="1"/>
  <c r="O17" i="55"/>
  <c r="O12" i="55"/>
  <c r="O55" i="55"/>
  <c r="O52" i="55"/>
  <c r="O47" i="55"/>
  <c r="L38" i="55"/>
  <c r="O30" i="55"/>
  <c r="L10" i="55"/>
  <c r="O29" i="55" l="1"/>
  <c r="O62" i="55"/>
  <c r="O48" i="55"/>
  <c r="O53" i="55"/>
  <c r="O33" i="55"/>
  <c r="O61" i="55"/>
  <c r="H58" i="55"/>
  <c r="O54" i="55"/>
  <c r="N50" i="55"/>
  <c r="O50" i="55" s="1"/>
  <c r="H49" i="55"/>
  <c r="H45" i="55"/>
  <c r="O45" i="55" s="1"/>
  <c r="H38" i="55"/>
  <c r="O37" i="55"/>
  <c r="O35" i="55"/>
  <c r="H34" i="55"/>
  <c r="O34" i="55" s="1"/>
  <c r="H26" i="55"/>
  <c r="O26" i="55" s="1"/>
  <c r="H25" i="55"/>
  <c r="O24" i="55"/>
  <c r="O23" i="55"/>
  <c r="N19" i="55"/>
  <c r="O19" i="55" s="1"/>
  <c r="H10" i="55"/>
  <c r="O10" i="55" s="1"/>
  <c r="O46" i="55" l="1"/>
  <c r="O25" i="55"/>
  <c r="O49" i="55"/>
  <c r="O57" i="55"/>
  <c r="O39" i="55"/>
  <c r="O58" i="55"/>
  <c r="O56" i="55"/>
  <c r="N42" i="55"/>
  <c r="O42" i="55" s="1"/>
  <c r="O40" i="55"/>
  <c r="R12" i="55" l="1"/>
  <c r="N32" i="55" l="1"/>
  <c r="O32" i="55" s="1"/>
  <c r="O59" i="55" l="1"/>
  <c r="R62" i="55" l="1"/>
  <c r="R60" i="55" l="1"/>
  <c r="R51" i="55"/>
  <c r="R43" i="55"/>
  <c r="R41" i="55"/>
  <c r="R36" i="55"/>
  <c r="R28" i="55"/>
  <c r="R18" i="55"/>
  <c r="R15" i="55"/>
  <c r="R30" i="55"/>
  <c r="R54" i="55" l="1"/>
  <c r="R23" i="55"/>
  <c r="R49" i="55"/>
  <c r="R58" i="55"/>
  <c r="R24" i="55"/>
  <c r="R52" i="55"/>
  <c r="R56" i="55"/>
  <c r="R37" i="55"/>
  <c r="R34" i="55"/>
  <c r="R33" i="55"/>
  <c r="R40" i="55"/>
  <c r="R61" i="55"/>
  <c r="R26" i="55"/>
  <c r="R14" i="55"/>
  <c r="R46" i="55"/>
  <c r="R20" i="55"/>
  <c r="R57" i="55"/>
  <c r="R59" i="55"/>
  <c r="R47" i="55"/>
  <c r="R55" i="55"/>
  <c r="R19" i="55"/>
  <c r="R48" i="55"/>
  <c r="R29" i="55"/>
  <c r="R35" i="55"/>
  <c r="R42" i="55"/>
  <c r="R16" i="55"/>
  <c r="R39" i="55"/>
  <c r="R45" i="55"/>
  <c r="R53" i="55"/>
  <c r="N27" i="55"/>
  <c r="O27" i="55" s="1"/>
  <c r="R17" i="55"/>
  <c r="R27" i="55" l="1"/>
  <c r="R25" i="55" l="1"/>
  <c r="R50" i="55" l="1"/>
  <c r="R32" i="55" l="1"/>
  <c r="N44" i="55"/>
  <c r="O44" i="55" s="1"/>
  <c r="N38" i="55"/>
  <c r="O38" i="55" s="1"/>
  <c r="R44" i="55" l="1"/>
  <c r="R38" i="55"/>
  <c r="R10" i="55"/>
</calcChain>
</file>

<file path=xl/sharedStrings.xml><?xml version="1.0" encoding="utf-8"?>
<sst xmlns="http://schemas.openxmlformats.org/spreadsheetml/2006/main" count="202" uniqueCount="107">
  <si>
    <t>NOME</t>
  </si>
  <si>
    <t>FÉRIAS</t>
  </si>
  <si>
    <t>INSS</t>
  </si>
  <si>
    <t>GRATIFICAÇÕES</t>
  </si>
  <si>
    <t>ALDEÍSE DE ASSIS COSTA</t>
  </si>
  <si>
    <t>BARTIRA NOGUEIRA LEITE CARVALHO</t>
  </si>
  <si>
    <t>CLÉCIO DE SOUZA GOIS</t>
  </si>
  <si>
    <t>DIANA CRISTINA SILVA GUIMARÃES</t>
  </si>
  <si>
    <t>ELÍRIA ROCHA DE MORAIS</t>
  </si>
  <si>
    <t>ELYS ANA SANTOS ROCHA TAVARES</t>
  </si>
  <si>
    <t>ERIBERTO BARRETO DA SILVA SOBRINHO</t>
  </si>
  <si>
    <t>FABIANA MÉRCIA DA SILVA</t>
  </si>
  <si>
    <t>FRANCILENE NOGUEIRA FELISMINO DO VALE</t>
  </si>
  <si>
    <t>GLAUTER SENA DE MEDEIROS</t>
  </si>
  <si>
    <t>HELTON TARCÍSIO DE OLIVEIRA SILVA</t>
  </si>
  <si>
    <t>IRAN VITAL DA SILVA</t>
  </si>
  <si>
    <t>IVANA PEREIRA GERMANO</t>
  </si>
  <si>
    <t>IWAN FERNANDES DE AZEVEDO PEREIRA</t>
  </si>
  <si>
    <t>JANISELHO DAS NEVES SOUZA</t>
  </si>
  <si>
    <t>JÚLIO CÉSAR SOUZA DO AMARAL</t>
  </si>
  <si>
    <t>KLÉBER SANTOS DE MORAIS</t>
  </si>
  <si>
    <t>KLÉGIA FERNANDES GALIZA DE OLIVEIRA</t>
  </si>
  <si>
    <t>LARISSA LAYANE DE LIRA SANTOS</t>
  </si>
  <si>
    <t>LIANA BRANDÃO VARELA DE ALBUQUERQUE</t>
  </si>
  <si>
    <t>LUANA SANTOS DA SILVA</t>
  </si>
  <si>
    <t>LUCIANA CLÁUDIA ARAÚJO LINS CORREIA</t>
  </si>
  <si>
    <t>MARIA APARECIDA DE PAULA</t>
  </si>
  <si>
    <t>MARIA DA CONCEIÇÃO AUGUSTA FERNANDES DE LIMA</t>
  </si>
  <si>
    <t>MARIETA SOUZA TAVARES EMÍDIO PINHEIRO</t>
  </si>
  <si>
    <t>MARILISI ALVES DOS SANTOS</t>
  </si>
  <si>
    <t>NOELMA ARAÚJO PEREIRA</t>
  </si>
  <si>
    <t>RICARDO LUIZ DOS SANTOS</t>
  </si>
  <si>
    <t>ROBERTA MARIA FERREIRA DA SILVA</t>
  </si>
  <si>
    <t>RODRIGO FAGUNDES LOPES DE OLIVEIRA</t>
  </si>
  <si>
    <t>SANDRA ALVES DO NASCIMENTO</t>
  </si>
  <si>
    <t>SASKIA COUTINHO BARROS</t>
  </si>
  <si>
    <t>TACILA OLIVEIRA DE ARAÚJO</t>
  </si>
  <si>
    <t>VALKÍRIA MARTINS COSTA TORRES</t>
  </si>
  <si>
    <t>VIRGÍNIA ROSE CARNEIRO DE AZEVEDO FREIRE</t>
  </si>
  <si>
    <t>REMUNERAÇÃO BÁSICA</t>
  </si>
  <si>
    <t>SALÁRIO BASE</t>
  </si>
  <si>
    <t>REMUNERAÇÃO EVENTUAL</t>
  </si>
  <si>
    <t>DEDUÇÕES OBRIGATÓRIAS</t>
  </si>
  <si>
    <t>REMUNERAÇÃO APÓS DEDUÇÕES</t>
  </si>
  <si>
    <t>VERBAS INDENIZATÓRIAS</t>
  </si>
  <si>
    <t>DEDUÇÕES PESSOAIS</t>
  </si>
  <si>
    <t>FUNÇÃO /CARGO EM COMISSÃO</t>
  </si>
  <si>
    <t>DATA DE ADMISSÃO</t>
  </si>
  <si>
    <t>AGENTE DE T.I.</t>
  </si>
  <si>
    <t>AGENTE ADMINISTRATIVO</t>
  </si>
  <si>
    <t>ENFERMEIRO FISCAL</t>
  </si>
  <si>
    <t>MOTORISTA</t>
  </si>
  <si>
    <t>TELEFONISTA</t>
  </si>
  <si>
    <t>JORNALISTA</t>
  </si>
  <si>
    <t>PROCURADOR JURÍDICO</t>
  </si>
  <si>
    <t>SECRETÁRIO EXECUTIVO</t>
  </si>
  <si>
    <t>PROGRAMADOR</t>
  </si>
  <si>
    <t>CONTADOR</t>
  </si>
  <si>
    <t>RECEPCIONISTA</t>
  </si>
  <si>
    <t>ADMINISTRADOR</t>
  </si>
  <si>
    <t>ASSISTENTE DE ATENDIMENTO E CADASTRO</t>
  </si>
  <si>
    <t>SEDE (NATAL)</t>
  </si>
  <si>
    <t>SUBSEÇÃO DE MOSSORÓ</t>
  </si>
  <si>
    <t>SUBSEÇÃO DE PAU DOS FERROS</t>
  </si>
  <si>
    <t>SUBSEÇÃO DE CAICÓ</t>
  </si>
  <si>
    <t>CARGO/FORMAÇÃO</t>
  </si>
  <si>
    <t>IRRF</t>
  </si>
  <si>
    <t>DEMAIS DEDUÇÕES OBRIGATÓRIAS</t>
  </si>
  <si>
    <t>VALOR LÍQUIDO</t>
  </si>
  <si>
    <t>SALÁRIO DO MÊS</t>
  </si>
  <si>
    <t>LOTAÇÃO</t>
  </si>
  <si>
    <t>BACHAREL EM CIÊNCIAS DA COMPUTAÇÃO</t>
  </si>
  <si>
    <t>(CARGO EM COMISSÃO OCUPADO POR EMPREGADO PÚBLICO EFETIVO)</t>
  </si>
  <si>
    <t>(CARGO EM COMISSÃO OCUPADO POR EMPREGADO PÚBLICO NÃO-EFETIVO)</t>
  </si>
  <si>
    <t>* As demais deduções obrigatórias referem-se a: descontos de auxílio alimentação, desconto de auxílio transporte;</t>
  </si>
  <si>
    <t>* As deduções pessoais correspondem a: pensão judicial, desconto de mensalidade e contribuição sindicais, empréstimo consignado, plano de saúde;</t>
  </si>
  <si>
    <t>* As verbas indenizatórias referem-se a: auxílio alimentação, auxílio transporte, abono pecuniário, férias indenizadas;</t>
  </si>
  <si>
    <t>RETROATIVO (ACORDO COLETIVO)</t>
  </si>
  <si>
    <t>LEONARDO GOMES PEDROSA</t>
  </si>
  <si>
    <t>CHEFE DO DEPARTAMENTO FINANCEIRO</t>
  </si>
  <si>
    <t>ASSISTENTE DE COBRANÇA</t>
  </si>
  <si>
    <t>CHEFE DA PROCURADORIA-GERAL</t>
  </si>
  <si>
    <t>AGENTE DE CONTRATAÇÃO</t>
  </si>
  <si>
    <t>CHEFE DO DEPARTAMENTO DE TECNOLOGIA DA INFORMAÇÃO E COMUNICAÇÃO</t>
  </si>
  <si>
    <t>CORREGEDOR-GERAL</t>
  </si>
  <si>
    <t>CHEFE DE GABINETE</t>
  </si>
  <si>
    <t>CHEFE DA CONTROLADORIA-GERAL</t>
  </si>
  <si>
    <t>OUVIDOR-GERAL</t>
  </si>
  <si>
    <t>ASSISTENTE DE RECURSOS HUMANOS</t>
  </si>
  <si>
    <t>CHEFE DO DEPARTAMENTO ADMINISTRATIVO</t>
  </si>
  <si>
    <t>CHEFE DO DEPARTAMENTO DE FISCALIZAÇÃO E EXERCÍCIO PROFISSIONAL</t>
  </si>
  <si>
    <t>CHEFE DO DEPARTAMENTO DE INSCRIÇÃO, REGISTRO E CADASTRO</t>
  </si>
  <si>
    <t>JAQUELINE KARLA DA SILVA VASCONCELOS MOREIRA</t>
  </si>
  <si>
    <t>PSICÓLOGO</t>
  </si>
  <si>
    <t>COORDENADOR DE GESTÃO DE PESSOAS</t>
  </si>
  <si>
    <t>ANNA LUYZA BEZERRA DE LIMA</t>
  </si>
  <si>
    <t>ASSESSOR DE INFRAESTRUTURA E COMUNICAÇÃO</t>
  </si>
  <si>
    <t xml:space="preserve">ADMINISTRADOR DE REDES </t>
  </si>
  <si>
    <t>VIVIANE DA SILVA CARVALHO</t>
  </si>
  <si>
    <t>ENFERMEIRO</t>
  </si>
  <si>
    <t>COORDENADOR DA DIVISÃO DE PROCESSO ÉTICO</t>
  </si>
  <si>
    <t xml:space="preserve">13º SALÁRIO </t>
  </si>
  <si>
    <t>ANDRÉ LUIZ SOARES DA SILVA</t>
  </si>
  <si>
    <t>* O empregado público Iran Vital da Silva foi cedido ao Cofen em 05/05/2025, sendo a sua remuneração mensal paga pelo Coren-RN e reembolsada pelo Cofen.</t>
  </si>
  <si>
    <t>REMUNERAÇÃO REFERENTE À FOLHA DE PAGAMENTO DE OUTUBRO/2025 - CONSELHO REGIONAL DE ENFERMAGEM DO RIO GRANDE DO NORTE</t>
  </si>
  <si>
    <t>ELIZABETE SIMONE PASCOAL DA ROCHA</t>
  </si>
  <si>
    <t>COORDENADOR DE CONTROLE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</si>
</sst>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theme="1"/>
      <name val="Calibri"/>
      <family val="2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0">
    <xf numFmtId="0" fontId="0" fillId="0" borderId="0" xfId="0"/>
    <xf numFmtId="43" fontId="0" fillId="0" borderId="0" xfId="0" applyNumberFormat="1"/>
    <xf numFmtId="0" fontId="2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43" fontId="0" fillId="0" borderId="0" xfId="1" applyFont="1"/>
    <xf numFmtId="43" fontId="6" fillId="0" borderId="0" xfId="1" applyFont="1"/>
    <xf numFmtId="0" fontId="0" fillId="0" borderId="0" xfId="0" applyAlignment="1">
      <alignment horizontal="center"/>
    </xf>
    <xf numFmtId="0" fontId="3" fillId="3" borderId="5" xfId="0" applyFont="1" applyFill="1" applyBorder="1" applyAlignment="1">
      <alignment horizontal="center"/>
    </xf>
    <xf numFmtId="43" fontId="7" fillId="0" borderId="0" xfId="0" applyNumberFormat="1" applyFont="1"/>
    <xf numFmtId="43" fontId="7" fillId="0" borderId="0" xfId="1" applyFont="1"/>
    <xf numFmtId="0" fontId="1" fillId="0" borderId="0" xfId="0" applyFont="1"/>
    <xf numFmtId="0" fontId="4" fillId="0" borderId="5" xfId="0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5" fillId="0" borderId="5" xfId="1" applyFont="1" applyBorder="1" applyAlignment="1">
      <alignment horizontal="right"/>
    </xf>
    <xf numFmtId="43" fontId="5" fillId="0" borderId="5" xfId="1" applyFont="1" applyBorder="1" applyAlignment="1"/>
    <xf numFmtId="43" fontId="5" fillId="0" borderId="5" xfId="1" applyFont="1" applyBorder="1"/>
    <xf numFmtId="0" fontId="4" fillId="0" borderId="6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5" fillId="0" borderId="8" xfId="1" applyFont="1" applyBorder="1"/>
    <xf numFmtId="43" fontId="4" fillId="0" borderId="5" xfId="1" applyFont="1" applyBorder="1" applyAlignment="1">
      <alignment horizontal="left"/>
    </xf>
    <xf numFmtId="43" fontId="4" fillId="0" borderId="5" xfId="1" applyFont="1" applyBorder="1"/>
    <xf numFmtId="43" fontId="4" fillId="0" borderId="0" xfId="1" applyFont="1" applyBorder="1"/>
    <xf numFmtId="43" fontId="5" fillId="0" borderId="7" xfId="1" applyFont="1" applyBorder="1"/>
    <xf numFmtId="43" fontId="5" fillId="0" borderId="10" xfId="1" applyFont="1" applyBorder="1"/>
    <xf numFmtId="0" fontId="4" fillId="0" borderId="3" xfId="0" applyFont="1" applyBorder="1" applyAlignment="1">
      <alignment horizontal="center"/>
    </xf>
    <xf numFmtId="43" fontId="4" fillId="0" borderId="6" xfId="1" applyFont="1" applyBorder="1" applyAlignment="1">
      <alignment horizontal="left"/>
    </xf>
    <xf numFmtId="43" fontId="4" fillId="0" borderId="6" xfId="1" applyFont="1" applyBorder="1"/>
    <xf numFmtId="43" fontId="5" fillId="0" borderId="6" xfId="1" applyFont="1" applyBorder="1"/>
    <xf numFmtId="43" fontId="5" fillId="0" borderId="3" xfId="1" applyFont="1" applyBorder="1"/>
    <xf numFmtId="43" fontId="5" fillId="0" borderId="2" xfId="1" applyFont="1" applyBorder="1"/>
    <xf numFmtId="43" fontId="5" fillId="0" borderId="8" xfId="1" applyFont="1" applyBorder="1" applyAlignment="1">
      <alignment horizontal="center"/>
    </xf>
    <xf numFmtId="43" fontId="4" fillId="0" borderId="5" xfId="1" applyFont="1" applyBorder="1" applyAlignment="1"/>
    <xf numFmtId="43" fontId="5" fillId="0" borderId="7" xfId="1" applyFont="1" applyBorder="1" applyAlignment="1"/>
    <xf numFmtId="0" fontId="4" fillId="0" borderId="6" xfId="0" applyFont="1" applyBorder="1"/>
    <xf numFmtId="14" fontId="4" fillId="0" borderId="6" xfId="0" applyNumberFormat="1" applyFont="1" applyBorder="1"/>
    <xf numFmtId="43" fontId="4" fillId="0" borderId="6" xfId="1" applyFont="1" applyBorder="1" applyAlignment="1"/>
    <xf numFmtId="43" fontId="5" fillId="0" borderId="6" xfId="1" applyFont="1" applyBorder="1" applyAlignment="1"/>
    <xf numFmtId="43" fontId="5" fillId="0" borderId="3" xfId="1" applyFont="1" applyBorder="1" applyAlignment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left"/>
    </xf>
    <xf numFmtId="43" fontId="4" fillId="0" borderId="1" xfId="1" applyFont="1" applyBorder="1"/>
    <xf numFmtId="43" fontId="5" fillId="0" borderId="1" xfId="1" applyFont="1" applyBorder="1"/>
    <xf numFmtId="43" fontId="8" fillId="0" borderId="1" xfId="1" applyFont="1" applyBorder="1"/>
    <xf numFmtId="0" fontId="4" fillId="0" borderId="9" xfId="0" applyFont="1" applyBorder="1" applyAlignment="1">
      <alignment horizontal="center"/>
    </xf>
    <xf numFmtId="43" fontId="4" fillId="0" borderId="7" xfId="1" applyFont="1" applyBorder="1"/>
    <xf numFmtId="43" fontId="4" fillId="0" borderId="9" xfId="1" applyFont="1" applyBorder="1"/>
    <xf numFmtId="0" fontId="4" fillId="0" borderId="4" xfId="0" applyFont="1" applyBorder="1" applyAlignment="1">
      <alignment horizontal="center"/>
    </xf>
    <xf numFmtId="43" fontId="4" fillId="0" borderId="3" xfId="1" applyFont="1" applyBorder="1"/>
    <xf numFmtId="43" fontId="4" fillId="0" borderId="4" xfId="1" applyFont="1" applyBorder="1"/>
    <xf numFmtId="0" fontId="4" fillId="2" borderId="6" xfId="0" applyFont="1" applyFill="1" applyBorder="1" applyAlignment="1">
      <alignment horizontal="center"/>
    </xf>
    <xf numFmtId="14" fontId="4" fillId="2" borderId="6" xfId="0" applyNumberFormat="1" applyFont="1" applyFill="1" applyBorder="1" applyAlignment="1">
      <alignment horizontal="center"/>
    </xf>
    <xf numFmtId="43" fontId="4" fillId="2" borderId="6" xfId="1" applyFont="1" applyFill="1" applyBorder="1" applyAlignment="1">
      <alignment horizontal="left"/>
    </xf>
    <xf numFmtId="43" fontId="4" fillId="2" borderId="6" xfId="1" applyFont="1" applyFill="1" applyBorder="1"/>
    <xf numFmtId="43" fontId="5" fillId="0" borderId="10" xfId="1" applyFont="1" applyBorder="1" applyAlignment="1"/>
    <xf numFmtId="0" fontId="4" fillId="0" borderId="8" xfId="0" applyFont="1" applyBorder="1"/>
    <xf numFmtId="43" fontId="4" fillId="0" borderId="8" xfId="1" applyFont="1" applyBorder="1" applyAlignment="1"/>
    <xf numFmtId="43" fontId="5" fillId="0" borderId="8" xfId="1" applyFont="1" applyBorder="1" applyAlignment="1"/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43" fontId="4" fillId="0" borderId="7" xfId="1" applyFont="1" applyBorder="1" applyAlignment="1">
      <alignment horizontal="left"/>
    </xf>
    <xf numFmtId="43" fontId="4" fillId="0" borderId="13" xfId="1" applyFont="1" applyBorder="1"/>
    <xf numFmtId="14" fontId="4" fillId="0" borderId="3" xfId="0" applyNumberFormat="1" applyFont="1" applyBorder="1" applyAlignment="1">
      <alignment horizontal="center"/>
    </xf>
    <xf numFmtId="43" fontId="4" fillId="0" borderId="3" xfId="1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43" fontId="4" fillId="2" borderId="1" xfId="1" applyFont="1" applyFill="1" applyBorder="1" applyAlignment="1">
      <alignment horizontal="left"/>
    </xf>
    <xf numFmtId="43" fontId="4" fillId="2" borderId="1" xfId="1" applyFont="1" applyFill="1" applyBorder="1"/>
    <xf numFmtId="14" fontId="4" fillId="0" borderId="10" xfId="0" applyNumberFormat="1" applyFont="1" applyBorder="1" applyAlignment="1">
      <alignment horizontal="center"/>
    </xf>
    <xf numFmtId="0" fontId="4" fillId="0" borderId="11" xfId="0" applyFont="1" applyBorder="1"/>
    <xf numFmtId="14" fontId="4" fillId="0" borderId="12" xfId="0" applyNumberFormat="1" applyFont="1" applyBorder="1"/>
    <xf numFmtId="43" fontId="4" fillId="0" borderId="8" xfId="1" applyFont="1" applyBorder="1" applyAlignment="1">
      <alignment horizontal="center"/>
    </xf>
    <xf numFmtId="43" fontId="5" fillId="0" borderId="11" xfId="1" applyFont="1" applyBorder="1" applyAlignment="1"/>
    <xf numFmtId="43" fontId="5" fillId="0" borderId="12" xfId="1" applyFont="1" applyBorder="1"/>
    <xf numFmtId="0" fontId="4" fillId="2" borderId="5" xfId="0" applyFont="1" applyFill="1" applyBorder="1" applyAlignment="1">
      <alignment horizontal="center"/>
    </xf>
    <xf numFmtId="43" fontId="4" fillId="0" borderId="7" xfId="1" applyFont="1" applyBorder="1" applyAlignment="1"/>
    <xf numFmtId="43" fontId="4" fillId="0" borderId="9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43" fontId="4" fillId="0" borderId="3" xfId="1" applyFont="1" applyBorder="1" applyAlignment="1"/>
    <xf numFmtId="43" fontId="4" fillId="0" borderId="4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4" fillId="0" borderId="3" xfId="0" applyFont="1" applyBorder="1"/>
    <xf numFmtId="14" fontId="4" fillId="0" borderId="2" xfId="0" applyNumberFormat="1" applyFont="1" applyBorder="1"/>
    <xf numFmtId="0" fontId="4" fillId="0" borderId="3" xfId="0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3" xfId="0" applyFont="1" applyFill="1" applyBorder="1"/>
    <xf numFmtId="0" fontId="2" fillId="2" borderId="1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0" fillId="0" borderId="3" xfId="0" applyBorder="1"/>
    <xf numFmtId="0" fontId="1" fillId="0" borderId="6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/>
    <xf numFmtId="0" fontId="4" fillId="0" borderId="1" xfId="0" applyFont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0" borderId="9" xfId="0" applyFont="1" applyBorder="1"/>
    <xf numFmtId="0" fontId="4" fillId="0" borderId="4" xfId="0" applyFont="1" applyBorder="1"/>
    <xf numFmtId="0" fontId="4" fillId="0" borderId="7" xfId="0" applyFont="1" applyBorder="1" applyAlignment="1">
      <alignment horizontal="left"/>
    </xf>
    <xf numFmtId="43" fontId="5" fillId="0" borderId="11" xfId="1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5" fillId="0" borderId="12" xfId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7" fillId="0" borderId="0" xfId="0" applyFont="1"/>
    <xf numFmtId="43" fontId="9" fillId="0" borderId="0" xfId="1" applyFont="1"/>
    <xf numFmtId="43" fontId="4" fillId="0" borderId="6" xfId="1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43" fontId="4" fillId="0" borderId="10" xfId="1" applyFont="1" applyBorder="1"/>
    <xf numFmtId="43" fontId="4" fillId="0" borderId="2" xfId="1" applyFont="1" applyBorder="1"/>
    <xf numFmtId="43" fontId="5" fillId="0" borderId="9" xfId="1" applyFont="1" applyBorder="1"/>
    <xf numFmtId="0" fontId="0" fillId="0" borderId="4" xfId="0" applyBorder="1"/>
    <xf numFmtId="43" fontId="5" fillId="0" borderId="5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5" fillId="0" borderId="7" xfId="1" applyFont="1" applyBorder="1" applyAlignment="1">
      <alignment horizontal="right"/>
    </xf>
    <xf numFmtId="43" fontId="5" fillId="0" borderId="3" xfId="1" applyFont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43" fontId="5" fillId="0" borderId="8" xfId="1" applyFont="1" applyBorder="1" applyAlignment="1">
      <alignment horizontal="center"/>
    </xf>
  </cellXfs>
  <cellStyles count="4">
    <cellStyle name="Normal" xfId="0" builtinId="0"/>
    <cellStyle name="Vírgula" xfId="1" builtinId="3"/>
    <cellStyle name="Vírgula 2" xfId="2" xr:uid="{B272E439-B7CB-407E-AF36-8BE3FEEBE44B}"/>
    <cellStyle name="Vírgula 3" xfId="3" xr:uid="{D8008A05-F8ED-43ED-A540-CEFA26A257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428626</xdr:colOff>
      <xdr:row>0</xdr:row>
      <xdr:rowOff>66676</xdr:rowOff>
    </xdr:from>
    <xdr:to>
      <xdr:col>9</xdr:col>
      <xdr:colOff>38100</xdr:colOff>
      <xdr:row>4</xdr:row>
      <xdr:rowOff>142876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F736AD5-32D2-1CA4-E2CF-AF3F7690028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972676" y="66676"/>
          <a:ext cx="3705224" cy="83820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1F822-DC5A-4F0B-9871-ED8F59D06646}">
  <sheetPr>
    <pageSetUpPr fitToPage="1"/>
  </sheetPr>
  <dimension ref="A7:T91"/>
  <sheetViews>
    <sheetView tabSelected="1" workbookViewId="0">
      <selection activeCell="A21" sqref="A21"/>
    </sheetView>
  </sheetViews>
  <sheetFormatPr defaultRowHeight="15" x14ac:dyDescent="0.25"/>
  <cols>
    <col min="1" max="1" width="42.28515625" customWidth="1"/>
    <col min="2" max="2" width="25.140625" bestFit="1" customWidth="1"/>
    <col min="3" max="3" width="32.5703125" bestFit="1" customWidth="1"/>
    <col min="4" max="4" width="59.85546875" bestFit="1" customWidth="1"/>
    <col min="5" max="5" width="16.85546875" customWidth="1"/>
    <col min="6" max="6" width="13.7109375" customWidth="1"/>
    <col min="7" max="7" width="17.140625" customWidth="1"/>
    <col min="8" max="8" width="13.7109375" bestFit="1" customWidth="1"/>
    <col min="9" max="9" width="27.85546875" hidden="1" customWidth="1"/>
    <col min="10" max="10" width="12.5703125" customWidth="1"/>
    <col min="11" max="11" width="21.7109375" bestFit="1" customWidth="1"/>
    <col min="12" max="12" width="11" customWidth="1"/>
    <col min="13" max="13" width="12" customWidth="1"/>
    <col min="14" max="14" width="28.28515625" customWidth="1"/>
    <col min="15" max="15" width="27" customWidth="1"/>
    <col min="16" max="16" width="20.85546875" customWidth="1"/>
    <col min="17" max="17" width="18" customWidth="1"/>
    <col min="18" max="18" width="13.42578125" customWidth="1"/>
  </cols>
  <sheetData>
    <row r="7" spans="1:18" x14ac:dyDescent="0.25">
      <c r="A7" s="133" t="s">
        <v>104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5"/>
    </row>
    <row r="8" spans="1:18" x14ac:dyDescent="0.25">
      <c r="A8" s="3"/>
      <c r="B8" s="3"/>
      <c r="C8" s="3"/>
      <c r="D8" s="3"/>
      <c r="E8" s="3"/>
      <c r="F8" s="3"/>
      <c r="G8" s="132" t="s">
        <v>39</v>
      </c>
      <c r="H8" s="132"/>
      <c r="I8" s="3" t="s">
        <v>77</v>
      </c>
      <c r="J8" s="132" t="s">
        <v>41</v>
      </c>
      <c r="K8" s="132"/>
      <c r="L8" s="132" t="s">
        <v>42</v>
      </c>
      <c r="M8" s="132"/>
      <c r="N8" s="3" t="s">
        <v>67</v>
      </c>
      <c r="O8" s="3" t="s">
        <v>43</v>
      </c>
      <c r="P8" s="3" t="s">
        <v>44</v>
      </c>
      <c r="Q8" s="3" t="s">
        <v>45</v>
      </c>
      <c r="R8" s="3" t="s">
        <v>68</v>
      </c>
    </row>
    <row r="9" spans="1:18" x14ac:dyDescent="0.25">
      <c r="A9" s="9" t="s">
        <v>0</v>
      </c>
      <c r="B9" s="9" t="s">
        <v>70</v>
      </c>
      <c r="C9" s="9" t="s">
        <v>65</v>
      </c>
      <c r="D9" s="9" t="s">
        <v>46</v>
      </c>
      <c r="E9" s="9" t="s">
        <v>47</v>
      </c>
      <c r="F9" s="9" t="s">
        <v>40</v>
      </c>
      <c r="G9" s="9" t="s">
        <v>69</v>
      </c>
      <c r="H9" s="9" t="s">
        <v>3</v>
      </c>
      <c r="I9" s="9"/>
      <c r="J9" s="9" t="s">
        <v>1</v>
      </c>
      <c r="K9" s="9" t="s">
        <v>101</v>
      </c>
      <c r="L9" s="9" t="s">
        <v>2</v>
      </c>
      <c r="M9" s="9" t="s">
        <v>66</v>
      </c>
      <c r="N9" s="9"/>
      <c r="O9" s="9"/>
      <c r="P9" s="9"/>
      <c r="Q9" s="9"/>
      <c r="R9" s="9"/>
    </row>
    <row r="10" spans="1:18" s="8" customFormat="1" x14ac:dyDescent="0.25">
      <c r="A10" s="101" t="s">
        <v>4</v>
      </c>
      <c r="B10" s="13" t="s">
        <v>61</v>
      </c>
      <c r="C10" s="13" t="s">
        <v>48</v>
      </c>
      <c r="D10" s="13" t="s">
        <v>79</v>
      </c>
      <c r="E10" s="14">
        <v>41218</v>
      </c>
      <c r="F10" s="15">
        <v>3942.18</v>
      </c>
      <c r="G10" s="15">
        <v>3942.18</v>
      </c>
      <c r="H10" s="15">
        <f>236.53+197.11+315.37+3913.16</f>
        <v>4662.17</v>
      </c>
      <c r="I10" s="15"/>
      <c r="J10" s="15"/>
      <c r="K10" s="16"/>
      <c r="L10" s="16">
        <f>951.62</f>
        <v>951.62</v>
      </c>
      <c r="M10" s="16">
        <f>1195.77</f>
        <v>1195.77</v>
      </c>
      <c r="N10" s="17">
        <f>1+98.55</f>
        <v>99.55</v>
      </c>
      <c r="O10" s="16">
        <f>G10+H10+I10+J10+K10-L10-M10-N10</f>
        <v>6357.4100000000008</v>
      </c>
      <c r="P10" s="18">
        <f>992.53+208.8</f>
        <v>1201.33</v>
      </c>
      <c r="Q10" s="17">
        <f>1298.34+241.2+39.42</f>
        <v>1578.96</v>
      </c>
      <c r="R10" s="19">
        <f>O10+P10-Q10</f>
        <v>5979.7800000000007</v>
      </c>
    </row>
    <row r="11" spans="1:18" s="8" customFormat="1" x14ac:dyDescent="0.25">
      <c r="A11" s="20"/>
      <c r="B11" s="20"/>
      <c r="C11" s="20"/>
      <c r="D11" s="20" t="s">
        <v>72</v>
      </c>
      <c r="E11" s="21"/>
      <c r="F11" s="22"/>
      <c r="G11" s="22"/>
      <c r="H11" s="22"/>
      <c r="I11" s="22"/>
      <c r="J11" s="22"/>
      <c r="K11" s="23"/>
      <c r="L11" s="23"/>
      <c r="M11" s="23"/>
      <c r="N11" s="23"/>
      <c r="O11" s="23"/>
      <c r="P11" s="23"/>
      <c r="Q11" s="23"/>
      <c r="R11" s="23"/>
    </row>
    <row r="12" spans="1:18" s="8" customFormat="1" x14ac:dyDescent="0.25">
      <c r="A12" s="116" t="s">
        <v>102</v>
      </c>
      <c r="B12" s="13" t="s">
        <v>61</v>
      </c>
      <c r="C12" s="13" t="s">
        <v>56</v>
      </c>
      <c r="D12" s="13" t="s">
        <v>83</v>
      </c>
      <c r="E12" s="113">
        <v>45779</v>
      </c>
      <c r="F12" s="78">
        <v>7826.33</v>
      </c>
      <c r="G12" s="78">
        <v>7826.33</v>
      </c>
      <c r="H12" s="78"/>
      <c r="I12" s="114"/>
      <c r="J12" s="78"/>
      <c r="K12" s="37"/>
      <c r="L12" s="37">
        <f>905.27</f>
        <v>905.27</v>
      </c>
      <c r="M12" s="37">
        <f>942.42</f>
        <v>942.42</v>
      </c>
      <c r="N12" s="112">
        <f>1+264.64</f>
        <v>265.64</v>
      </c>
      <c r="O12" s="16">
        <f t="shared" ref="O12:O63" si="0">G12+H12+I12+J12+K12-L12-M12-N12</f>
        <v>5712.9999999999991</v>
      </c>
      <c r="P12" s="115">
        <f>992.53</f>
        <v>992.53</v>
      </c>
      <c r="Q12" s="112">
        <v>402.63</v>
      </c>
      <c r="R12" s="19">
        <f>O12+P12-Q12</f>
        <v>6302.8999999999987</v>
      </c>
    </row>
    <row r="13" spans="1:18" s="8" customFormat="1" x14ac:dyDescent="0.25">
      <c r="A13" s="24"/>
      <c r="B13" s="24"/>
      <c r="C13" s="24"/>
      <c r="D13" s="20" t="s">
        <v>73</v>
      </c>
      <c r="E13" s="113"/>
      <c r="F13" s="78"/>
      <c r="G13" s="78"/>
      <c r="H13" s="78"/>
      <c r="I13" s="114"/>
      <c r="J13" s="78"/>
      <c r="K13" s="37"/>
      <c r="L13" s="37"/>
      <c r="M13" s="37"/>
      <c r="N13" s="112"/>
      <c r="O13" s="16">
        <f t="shared" si="0"/>
        <v>0</v>
      </c>
      <c r="P13" s="115"/>
      <c r="Q13" s="112"/>
      <c r="R13" s="37"/>
    </row>
    <row r="14" spans="1:18" x14ac:dyDescent="0.25">
      <c r="A14" s="101" t="s">
        <v>95</v>
      </c>
      <c r="B14" s="13" t="s">
        <v>61</v>
      </c>
      <c r="C14" s="13" t="s">
        <v>97</v>
      </c>
      <c r="D14" s="13" t="s">
        <v>96</v>
      </c>
      <c r="E14" s="14">
        <v>45551</v>
      </c>
      <c r="F14" s="26">
        <v>2465.3000000000002</v>
      </c>
      <c r="G14" s="27">
        <v>903.94</v>
      </c>
      <c r="H14" s="27"/>
      <c r="I14" s="28"/>
      <c r="J14" s="27"/>
      <c r="K14" s="19"/>
      <c r="L14" s="19">
        <v>85.96</v>
      </c>
      <c r="M14" s="19">
        <v>0</v>
      </c>
      <c r="N14" s="29">
        <f>1+22.6+132.32</f>
        <v>155.91999999999999</v>
      </c>
      <c r="O14" s="16">
        <f t="shared" si="0"/>
        <v>662.06000000000006</v>
      </c>
      <c r="P14" s="30">
        <f>992.53+127.4</f>
        <v>1119.93</v>
      </c>
      <c r="Q14" s="29">
        <f>53.18+24.44</f>
        <v>77.62</v>
      </c>
      <c r="R14" s="19">
        <f t="shared" ref="R14:R61" si="1">O14+P14-Q14</f>
        <v>1704.3700000000003</v>
      </c>
    </row>
    <row r="15" spans="1:18" x14ac:dyDescent="0.25">
      <c r="A15" s="102"/>
      <c r="B15" s="20"/>
      <c r="C15" s="20"/>
      <c r="D15" s="31" t="s">
        <v>73</v>
      </c>
      <c r="E15" s="21"/>
      <c r="F15" s="32"/>
      <c r="G15" s="33"/>
      <c r="H15" s="33"/>
      <c r="I15" s="28"/>
      <c r="J15" s="33"/>
      <c r="K15" s="34"/>
      <c r="L15" s="34"/>
      <c r="M15" s="34"/>
      <c r="N15" s="35"/>
      <c r="O15" s="16">
        <f t="shared" si="0"/>
        <v>0</v>
      </c>
      <c r="P15" s="36"/>
      <c r="Q15" s="35"/>
      <c r="R15" s="34">
        <f t="shared" si="1"/>
        <v>0</v>
      </c>
    </row>
    <row r="16" spans="1:18" x14ac:dyDescent="0.25">
      <c r="A16" s="102" t="s">
        <v>5</v>
      </c>
      <c r="B16" s="20" t="s">
        <v>63</v>
      </c>
      <c r="C16" s="20" t="s">
        <v>49</v>
      </c>
      <c r="D16" s="13" t="s">
        <v>49</v>
      </c>
      <c r="E16" s="21">
        <v>41445</v>
      </c>
      <c r="F16" s="32">
        <v>2950.73</v>
      </c>
      <c r="G16" s="33">
        <v>1868.8</v>
      </c>
      <c r="H16" s="33"/>
      <c r="I16" s="33"/>
      <c r="J16" s="33"/>
      <c r="K16" s="34"/>
      <c r="L16" s="34">
        <v>166.35</v>
      </c>
      <c r="M16" s="34">
        <v>0</v>
      </c>
      <c r="N16" s="34">
        <f>1+46.72</f>
        <v>47.72</v>
      </c>
      <c r="O16" s="16">
        <f t="shared" si="0"/>
        <v>1654.73</v>
      </c>
      <c r="P16" s="34">
        <f>992.53+176.4</f>
        <v>1168.93</v>
      </c>
      <c r="Q16" s="34">
        <f>29.51</f>
        <v>29.51</v>
      </c>
      <c r="R16" s="25">
        <f t="shared" si="1"/>
        <v>2794.1499999999996</v>
      </c>
    </row>
    <row r="17" spans="1:18" x14ac:dyDescent="0.25">
      <c r="A17" s="103" t="s">
        <v>6</v>
      </c>
      <c r="B17" s="13" t="s">
        <v>61</v>
      </c>
      <c r="C17" s="13" t="s">
        <v>51</v>
      </c>
      <c r="D17" s="13" t="s">
        <v>91</v>
      </c>
      <c r="E17" s="14">
        <v>36087</v>
      </c>
      <c r="F17" s="38">
        <v>3657.51</v>
      </c>
      <c r="G17" s="38">
        <f>2682.17+122.99+260.88</f>
        <v>3066.04</v>
      </c>
      <c r="H17" s="128"/>
      <c r="I17" s="15"/>
      <c r="J17" s="128"/>
      <c r="K17" s="126"/>
      <c r="L17" s="18">
        <v>305.47000000000003</v>
      </c>
      <c r="M17" s="18">
        <v>2.25</v>
      </c>
      <c r="N17" s="39">
        <f>1+264.64</f>
        <v>265.64</v>
      </c>
      <c r="O17" s="16">
        <f t="shared" si="0"/>
        <v>2492.6799999999998</v>
      </c>
      <c r="P17" s="30">
        <f>992.53</f>
        <v>992.53</v>
      </c>
      <c r="Q17" s="29">
        <f>36.58</f>
        <v>36.58</v>
      </c>
      <c r="R17" s="19">
        <f t="shared" si="1"/>
        <v>3448.63</v>
      </c>
    </row>
    <row r="18" spans="1:18" x14ac:dyDescent="0.25">
      <c r="A18" s="40"/>
      <c r="B18" s="40"/>
      <c r="C18" s="40"/>
      <c r="D18" s="20" t="s">
        <v>72</v>
      </c>
      <c r="E18" s="41"/>
      <c r="F18" s="42"/>
      <c r="G18" s="42"/>
      <c r="H18" s="129"/>
      <c r="I18" s="22"/>
      <c r="J18" s="129"/>
      <c r="K18" s="127"/>
      <c r="L18" s="43"/>
      <c r="M18" s="43"/>
      <c r="N18" s="44"/>
      <c r="O18" s="16">
        <f t="shared" si="0"/>
        <v>0</v>
      </c>
      <c r="P18" s="36"/>
      <c r="Q18" s="35"/>
      <c r="R18" s="34">
        <f t="shared" si="1"/>
        <v>0</v>
      </c>
    </row>
    <row r="19" spans="1:18" x14ac:dyDescent="0.25">
      <c r="A19" s="104" t="s">
        <v>7</v>
      </c>
      <c r="B19" s="45" t="s">
        <v>61</v>
      </c>
      <c r="C19" s="45" t="s">
        <v>52</v>
      </c>
      <c r="D19" s="20" t="s">
        <v>52</v>
      </c>
      <c r="E19" s="46">
        <v>41218</v>
      </c>
      <c r="F19" s="47">
        <v>2102.4</v>
      </c>
      <c r="G19" s="48">
        <v>2102.4</v>
      </c>
      <c r="H19" s="48">
        <f>105.12+168.19</f>
        <v>273.31</v>
      </c>
      <c r="I19" s="48">
        <v>0</v>
      </c>
      <c r="J19" s="48"/>
      <c r="K19" s="49"/>
      <c r="L19" s="49">
        <f>191.04</f>
        <v>191.04</v>
      </c>
      <c r="M19" s="49"/>
      <c r="N19" s="49">
        <f>1</f>
        <v>1</v>
      </c>
      <c r="O19" s="16">
        <f t="shared" si="0"/>
        <v>2183.67</v>
      </c>
      <c r="P19" s="49">
        <f>992.53</f>
        <v>992.53</v>
      </c>
      <c r="Q19" s="49">
        <f>332.54+21.02</f>
        <v>353.56</v>
      </c>
      <c r="R19" s="25">
        <f t="shared" si="1"/>
        <v>2822.64</v>
      </c>
    </row>
    <row r="20" spans="1:18" x14ac:dyDescent="0.25">
      <c r="A20" s="101" t="s">
        <v>8</v>
      </c>
      <c r="B20" s="13" t="s">
        <v>61</v>
      </c>
      <c r="C20" s="13" t="s">
        <v>52</v>
      </c>
      <c r="D20" s="13" t="s">
        <v>52</v>
      </c>
      <c r="E20" s="14">
        <v>41548</v>
      </c>
      <c r="F20" s="26">
        <v>2102.4</v>
      </c>
      <c r="G20" s="27">
        <v>2102.4</v>
      </c>
      <c r="H20" s="27">
        <f>105.12+168.19+1336.85</f>
        <v>1610.1599999999999</v>
      </c>
      <c r="I20" s="27">
        <v>0</v>
      </c>
      <c r="J20" s="27"/>
      <c r="K20" s="19"/>
      <c r="L20" s="19">
        <f>338.91</f>
        <v>338.91</v>
      </c>
      <c r="M20" s="19">
        <v>71.64</v>
      </c>
      <c r="N20" s="19">
        <f>1+52.56</f>
        <v>53.56</v>
      </c>
      <c r="O20" s="16">
        <f t="shared" si="0"/>
        <v>3248.4500000000003</v>
      </c>
      <c r="P20" s="19">
        <f>992.53+107.8</f>
        <v>1100.33</v>
      </c>
      <c r="Q20" s="19">
        <f>21.02</f>
        <v>21.02</v>
      </c>
      <c r="R20" s="19">
        <f t="shared" si="1"/>
        <v>4327.76</v>
      </c>
    </row>
    <row r="21" spans="1:18" x14ac:dyDescent="0.25">
      <c r="A21" s="120" t="s">
        <v>105</v>
      </c>
      <c r="B21" s="13" t="s">
        <v>61</v>
      </c>
      <c r="C21" s="13" t="s">
        <v>57</v>
      </c>
      <c r="D21" s="13" t="s">
        <v>106</v>
      </c>
      <c r="E21" s="14">
        <v>45937</v>
      </c>
      <c r="F21" s="26">
        <v>4108.3500000000004</v>
      </c>
      <c r="G21" s="27">
        <v>3424.02</v>
      </c>
      <c r="H21" s="27"/>
      <c r="I21" s="53"/>
      <c r="J21" s="122"/>
      <c r="K21" s="19"/>
      <c r="L21" s="19">
        <v>304.27999999999997</v>
      </c>
      <c r="M21" s="19">
        <v>29.1</v>
      </c>
      <c r="N21" s="19">
        <f>1+85.6</f>
        <v>86.6</v>
      </c>
      <c r="O21" s="16">
        <f t="shared" si="0"/>
        <v>3004.04</v>
      </c>
      <c r="P21" s="19">
        <f>827.11+198</f>
        <v>1025.1100000000001</v>
      </c>
      <c r="Q21" s="19">
        <v>0</v>
      </c>
      <c r="R21" s="30">
        <f t="shared" si="1"/>
        <v>4029.15</v>
      </c>
    </row>
    <row r="22" spans="1:18" x14ac:dyDescent="0.25">
      <c r="A22" s="121"/>
      <c r="B22" s="20"/>
      <c r="C22" s="20"/>
      <c r="D22" s="20" t="s">
        <v>73</v>
      </c>
      <c r="E22" s="21"/>
      <c r="F22" s="32"/>
      <c r="G22" s="33"/>
      <c r="H22" s="33"/>
      <c r="I22" s="56"/>
      <c r="J22" s="123"/>
      <c r="K22" s="34"/>
      <c r="L22" s="34"/>
      <c r="M22" s="34"/>
      <c r="N22" s="34"/>
      <c r="O22" s="23"/>
      <c r="P22" s="34"/>
      <c r="Q22" s="34"/>
      <c r="R22" s="36"/>
    </row>
    <row r="23" spans="1:18" x14ac:dyDescent="0.25">
      <c r="A23" s="102" t="s">
        <v>9</v>
      </c>
      <c r="B23" s="20" t="s">
        <v>61</v>
      </c>
      <c r="C23" s="20" t="s">
        <v>53</v>
      </c>
      <c r="D23" s="20" t="s">
        <v>53</v>
      </c>
      <c r="E23" s="21">
        <v>37865</v>
      </c>
      <c r="F23" s="32">
        <v>6897.88</v>
      </c>
      <c r="G23" s="33">
        <f>6438.02+50.11</f>
        <v>6488.13</v>
      </c>
      <c r="H23" s="33">
        <f>321.9+515.04</f>
        <v>836.93999999999994</v>
      </c>
      <c r="I23" s="33"/>
      <c r="J23" s="119"/>
      <c r="K23" s="34"/>
      <c r="L23" s="34">
        <f>854.37</f>
        <v>854.37</v>
      </c>
      <c r="M23" s="34">
        <f>870.71</f>
        <v>870.71</v>
      </c>
      <c r="N23" s="34">
        <f>1+160.95</f>
        <v>161.94999999999999</v>
      </c>
      <c r="O23" s="37">
        <f t="shared" si="0"/>
        <v>5438.04</v>
      </c>
      <c r="P23" s="34">
        <f>992.53+385.2</f>
        <v>1377.73</v>
      </c>
      <c r="Q23" s="34">
        <f>68.98</f>
        <v>68.98</v>
      </c>
      <c r="R23" s="25">
        <f t="shared" si="1"/>
        <v>6746.7900000000009</v>
      </c>
    </row>
    <row r="24" spans="1:18" x14ac:dyDescent="0.25">
      <c r="A24" s="104" t="s">
        <v>10</v>
      </c>
      <c r="B24" s="45" t="s">
        <v>61</v>
      </c>
      <c r="C24" s="45" t="s">
        <v>49</v>
      </c>
      <c r="D24" s="45" t="s">
        <v>80</v>
      </c>
      <c r="E24" s="46">
        <v>41218</v>
      </c>
      <c r="F24" s="47">
        <v>7826.33</v>
      </c>
      <c r="G24" s="48">
        <f>4695.8+1180.29</f>
        <v>5876.09</v>
      </c>
      <c r="H24" s="48">
        <f>147.54+445.62</f>
        <v>593.16</v>
      </c>
      <c r="I24" s="48"/>
      <c r="J24" s="48"/>
      <c r="K24" s="49"/>
      <c r="L24" s="49">
        <v>715.27</v>
      </c>
      <c r="M24" s="49">
        <v>621.48</v>
      </c>
      <c r="N24" s="49">
        <f>1+117.4</f>
        <v>118.4</v>
      </c>
      <c r="O24" s="16">
        <f t="shared" si="0"/>
        <v>5014.1000000000004</v>
      </c>
      <c r="P24" s="49">
        <f>992.53+333.2</f>
        <v>1325.73</v>
      </c>
      <c r="Q24" s="49">
        <f>599+121.28+118+256.45+24.44+78.26</f>
        <v>1197.43</v>
      </c>
      <c r="R24" s="19">
        <f t="shared" si="1"/>
        <v>5142.3999999999996</v>
      </c>
    </row>
    <row r="25" spans="1:18" x14ac:dyDescent="0.25">
      <c r="A25" s="104" t="s">
        <v>11</v>
      </c>
      <c r="B25" s="45" t="s">
        <v>64</v>
      </c>
      <c r="C25" s="45" t="s">
        <v>50</v>
      </c>
      <c r="D25" s="45" t="s">
        <v>50</v>
      </c>
      <c r="E25" s="46">
        <v>38908</v>
      </c>
      <c r="F25" s="47">
        <v>7221.29</v>
      </c>
      <c r="G25" s="48">
        <v>7221.29</v>
      </c>
      <c r="H25" s="48">
        <f>361.06+577.7</f>
        <v>938.76</v>
      </c>
      <c r="I25" s="48"/>
      <c r="J25" s="48">
        <v>0</v>
      </c>
      <c r="K25" s="49"/>
      <c r="L25" s="49">
        <f>951.62</f>
        <v>951.62</v>
      </c>
      <c r="M25" s="49">
        <f>1021.45</f>
        <v>1021.45</v>
      </c>
      <c r="N25" s="50">
        <f>1+396.96</f>
        <v>397.96</v>
      </c>
      <c r="O25" s="16">
        <f t="shared" si="0"/>
        <v>5789.02</v>
      </c>
      <c r="P25" s="49">
        <f>992.53</f>
        <v>992.53</v>
      </c>
      <c r="Q25" s="49">
        <f>295.12+460.21+72.21</f>
        <v>827.54</v>
      </c>
      <c r="R25" s="19">
        <f t="shared" si="1"/>
        <v>5954.01</v>
      </c>
    </row>
    <row r="26" spans="1:18" x14ac:dyDescent="0.25">
      <c r="A26" s="101" t="s">
        <v>12</v>
      </c>
      <c r="B26" s="13" t="s">
        <v>61</v>
      </c>
      <c r="C26" s="13" t="s">
        <v>49</v>
      </c>
      <c r="D26" s="13" t="s">
        <v>49</v>
      </c>
      <c r="E26" s="14">
        <v>35916</v>
      </c>
      <c r="F26" s="26">
        <v>3965.54</v>
      </c>
      <c r="G26" s="27">
        <v>3965.54</v>
      </c>
      <c r="H26" s="27">
        <f>237.93+198.28+317.24</f>
        <v>753.45</v>
      </c>
      <c r="I26" s="27"/>
      <c r="J26" s="27"/>
      <c r="K26" s="19"/>
      <c r="L26" s="19">
        <f>470.24</f>
        <v>470.24</v>
      </c>
      <c r="M26" s="19">
        <v>195.16</v>
      </c>
      <c r="N26" s="19">
        <f>1+99.14</f>
        <v>100.14</v>
      </c>
      <c r="O26" s="16">
        <f t="shared" si="0"/>
        <v>3953.4500000000003</v>
      </c>
      <c r="P26" s="19">
        <f>992.53+107.8</f>
        <v>1100.33</v>
      </c>
      <c r="Q26" s="19">
        <f>798.95+1187.02+39.66</f>
        <v>2025.63</v>
      </c>
      <c r="R26" s="19">
        <f t="shared" si="1"/>
        <v>3028.1500000000005</v>
      </c>
    </row>
    <row r="27" spans="1:18" x14ac:dyDescent="0.25">
      <c r="A27" s="101" t="s">
        <v>13</v>
      </c>
      <c r="B27" s="13" t="s">
        <v>61</v>
      </c>
      <c r="C27" s="13" t="s">
        <v>54</v>
      </c>
      <c r="D27" s="51" t="s">
        <v>81</v>
      </c>
      <c r="E27" s="14">
        <v>41737</v>
      </c>
      <c r="F27" s="26">
        <v>8305.52</v>
      </c>
      <c r="G27" s="27">
        <v>8305.52</v>
      </c>
      <c r="H27" s="52">
        <f>415.28+830.55+4108.82</f>
        <v>5354.65</v>
      </c>
      <c r="I27" s="53"/>
      <c r="J27" s="27"/>
      <c r="K27" s="19"/>
      <c r="L27" s="19">
        <v>951.62</v>
      </c>
      <c r="M27" s="19">
        <v>2481.85</v>
      </c>
      <c r="N27" s="29">
        <f>1</f>
        <v>1</v>
      </c>
      <c r="O27" s="16">
        <f t="shared" si="0"/>
        <v>10225.699999999999</v>
      </c>
      <c r="P27" s="30">
        <f>992.53</f>
        <v>992.53</v>
      </c>
      <c r="Q27" s="29">
        <v>2893.54</v>
      </c>
      <c r="R27" s="19">
        <f t="shared" si="1"/>
        <v>8324.6899999999987</v>
      </c>
    </row>
    <row r="28" spans="1:18" x14ac:dyDescent="0.25">
      <c r="A28" s="102"/>
      <c r="B28" s="20"/>
      <c r="C28" s="20"/>
      <c r="D28" s="54" t="s">
        <v>72</v>
      </c>
      <c r="E28" s="21"/>
      <c r="F28" s="32"/>
      <c r="G28" s="33"/>
      <c r="H28" s="55"/>
      <c r="I28" s="56"/>
      <c r="J28" s="33"/>
      <c r="K28" s="34"/>
      <c r="L28" s="34"/>
      <c r="M28" s="34"/>
      <c r="N28" s="35"/>
      <c r="O28" s="16">
        <f t="shared" si="0"/>
        <v>0</v>
      </c>
      <c r="P28" s="36"/>
      <c r="Q28" s="35"/>
      <c r="R28" s="34">
        <f t="shared" si="1"/>
        <v>0</v>
      </c>
    </row>
    <row r="29" spans="1:18" x14ac:dyDescent="0.25">
      <c r="A29" s="105" t="s">
        <v>14</v>
      </c>
      <c r="B29" s="20" t="s">
        <v>61</v>
      </c>
      <c r="C29" s="57" t="s">
        <v>55</v>
      </c>
      <c r="D29" s="57" t="s">
        <v>82</v>
      </c>
      <c r="E29" s="58">
        <v>42559</v>
      </c>
      <c r="F29" s="59">
        <v>5160.6899999999996</v>
      </c>
      <c r="G29" s="60">
        <v>4300.58</v>
      </c>
      <c r="H29" s="60">
        <v>1114.04</v>
      </c>
      <c r="I29" s="60"/>
      <c r="J29" s="60">
        <v>1082.92</v>
      </c>
      <c r="K29" s="34"/>
      <c r="L29" s="34">
        <f>638.02+81.21</f>
        <v>719.23</v>
      </c>
      <c r="M29" s="34">
        <v>356.59</v>
      </c>
      <c r="N29" s="34">
        <f>1+107.51</f>
        <v>108.51</v>
      </c>
      <c r="O29" s="16">
        <f t="shared" si="0"/>
        <v>5313.2099999999991</v>
      </c>
      <c r="P29" s="34">
        <f>992.53+241.4</f>
        <v>1233.93</v>
      </c>
      <c r="Q29" s="34">
        <f>822+785.68+356.8+51.61+157.14</f>
        <v>2173.2299999999996</v>
      </c>
      <c r="R29" s="49">
        <f t="shared" si="1"/>
        <v>4373.91</v>
      </c>
    </row>
    <row r="30" spans="1:18" x14ac:dyDescent="0.25">
      <c r="A30" s="103" t="s">
        <v>15</v>
      </c>
      <c r="B30" s="13" t="s">
        <v>61</v>
      </c>
      <c r="C30" s="13" t="s">
        <v>56</v>
      </c>
      <c r="D30" s="13" t="s">
        <v>56</v>
      </c>
      <c r="E30" s="14">
        <v>36951</v>
      </c>
      <c r="F30" s="38">
        <v>4993.83</v>
      </c>
      <c r="G30" s="38">
        <v>4993.83</v>
      </c>
      <c r="H30" s="38">
        <v>299.63</v>
      </c>
      <c r="I30" s="38"/>
      <c r="J30" s="27"/>
      <c r="K30" s="126"/>
      <c r="L30" s="18">
        <v>550.66</v>
      </c>
      <c r="M30" s="18">
        <v>379.99</v>
      </c>
      <c r="N30" s="19">
        <v>0</v>
      </c>
      <c r="O30" s="16">
        <f t="shared" si="0"/>
        <v>4362.8100000000004</v>
      </c>
      <c r="P30" s="61"/>
      <c r="Q30" s="29">
        <f>538.56+1086.43+73.3+49.94</f>
        <v>1748.23</v>
      </c>
      <c r="R30" s="25">
        <f t="shared" si="1"/>
        <v>2614.5800000000004</v>
      </c>
    </row>
    <row r="31" spans="1:18" x14ac:dyDescent="0.25">
      <c r="A31" s="40"/>
      <c r="B31" s="40"/>
      <c r="C31" s="40"/>
      <c r="D31" s="20"/>
      <c r="E31" s="41"/>
      <c r="F31" s="42"/>
      <c r="G31" s="42"/>
      <c r="H31" s="42"/>
      <c r="I31" s="42"/>
      <c r="J31" s="33"/>
      <c r="K31" s="127"/>
      <c r="L31" s="43"/>
      <c r="M31" s="43"/>
      <c r="N31" s="34"/>
      <c r="O31" s="37">
        <f t="shared" si="0"/>
        <v>0</v>
      </c>
      <c r="P31" s="43"/>
      <c r="Q31" s="35"/>
      <c r="R31" s="34"/>
    </row>
    <row r="32" spans="1:18" x14ac:dyDescent="0.25">
      <c r="A32" s="102" t="s">
        <v>16</v>
      </c>
      <c r="B32" s="20" t="s">
        <v>64</v>
      </c>
      <c r="C32" s="20" t="s">
        <v>49</v>
      </c>
      <c r="D32" s="20" t="s">
        <v>49</v>
      </c>
      <c r="E32" s="21">
        <v>35827</v>
      </c>
      <c r="F32" s="32">
        <v>3965.54</v>
      </c>
      <c r="G32" s="33">
        <v>3965.54</v>
      </c>
      <c r="H32" s="33"/>
      <c r="I32" s="33"/>
      <c r="J32" s="33"/>
      <c r="K32" s="34"/>
      <c r="L32" s="34">
        <f>369.26</f>
        <v>369.26</v>
      </c>
      <c r="M32" s="34">
        <v>109.59</v>
      </c>
      <c r="N32" s="34">
        <f>1</f>
        <v>1</v>
      </c>
      <c r="O32" s="16">
        <f t="shared" si="0"/>
        <v>3485.6899999999996</v>
      </c>
      <c r="P32" s="34">
        <f>992.53</f>
        <v>992.53</v>
      </c>
      <c r="Q32" s="34">
        <f>656.5+39.66</f>
        <v>696.16</v>
      </c>
      <c r="R32" s="25">
        <f t="shared" si="1"/>
        <v>3782.0599999999995</v>
      </c>
    </row>
    <row r="33" spans="1:18" x14ac:dyDescent="0.25">
      <c r="A33" s="104" t="s">
        <v>17</v>
      </c>
      <c r="B33" s="45" t="s">
        <v>61</v>
      </c>
      <c r="C33" s="45" t="s">
        <v>51</v>
      </c>
      <c r="D33" s="45" t="s">
        <v>51</v>
      </c>
      <c r="E33" s="46">
        <v>38831</v>
      </c>
      <c r="F33" s="47">
        <v>3249.65</v>
      </c>
      <c r="G33" s="48">
        <v>3249.65</v>
      </c>
      <c r="H33" s="48"/>
      <c r="I33" s="48"/>
      <c r="J33" s="48"/>
      <c r="K33" s="49"/>
      <c r="L33" s="49">
        <v>283.36</v>
      </c>
      <c r="M33" s="49">
        <v>16.02</v>
      </c>
      <c r="N33" s="49">
        <f>1+81.24</f>
        <v>82.24</v>
      </c>
      <c r="O33" s="16">
        <f t="shared" si="0"/>
        <v>2868.03</v>
      </c>
      <c r="P33" s="49">
        <f>992.53+176.4</f>
        <v>1168.93</v>
      </c>
      <c r="Q33" s="49">
        <f>701.52+32.5</f>
        <v>734.02</v>
      </c>
      <c r="R33" s="19">
        <f t="shared" si="1"/>
        <v>3302.94</v>
      </c>
    </row>
    <row r="34" spans="1:18" x14ac:dyDescent="0.25">
      <c r="A34" s="101" t="s">
        <v>18</v>
      </c>
      <c r="B34" s="13" t="s">
        <v>61</v>
      </c>
      <c r="C34" s="13" t="s">
        <v>54</v>
      </c>
      <c r="D34" s="13" t="s">
        <v>84</v>
      </c>
      <c r="E34" s="14">
        <v>41436</v>
      </c>
      <c r="F34" s="26">
        <v>6416.01</v>
      </c>
      <c r="G34" s="27">
        <v>6416.01</v>
      </c>
      <c r="H34" s="27">
        <f>320.8+513.28+2228.09</f>
        <v>3062.17</v>
      </c>
      <c r="I34" s="48"/>
      <c r="J34" s="27"/>
      <c r="K34" s="19"/>
      <c r="L34" s="19">
        <v>951.62</v>
      </c>
      <c r="M34" s="19">
        <v>1331.8</v>
      </c>
      <c r="N34" s="19">
        <f>1+160.4</f>
        <v>161.4</v>
      </c>
      <c r="O34" s="16">
        <f t="shared" si="0"/>
        <v>7033.36</v>
      </c>
      <c r="P34" s="19">
        <f>992.53+1332</f>
        <v>2324.5299999999997</v>
      </c>
      <c r="Q34" s="19">
        <f>416.14+801.83+64.16</f>
        <v>1282.1300000000001</v>
      </c>
      <c r="R34" s="19">
        <f t="shared" si="1"/>
        <v>8075.7599999999993</v>
      </c>
    </row>
    <row r="35" spans="1:18" x14ac:dyDescent="0.25">
      <c r="A35" s="106" t="s">
        <v>92</v>
      </c>
      <c r="B35" s="65" t="s">
        <v>61</v>
      </c>
      <c r="C35" s="65" t="s">
        <v>93</v>
      </c>
      <c r="D35" s="65" t="s">
        <v>94</v>
      </c>
      <c r="E35" s="66">
        <v>45512</v>
      </c>
      <c r="F35" s="67">
        <v>4108.83</v>
      </c>
      <c r="G35" s="52">
        <v>4108.83</v>
      </c>
      <c r="H35" s="27"/>
      <c r="I35" s="68"/>
      <c r="J35" s="52"/>
      <c r="K35" s="19"/>
      <c r="L35" s="19">
        <v>386.46</v>
      </c>
      <c r="M35" s="19">
        <v>131.08000000000001</v>
      </c>
      <c r="N35" s="29">
        <f>1+102.72</f>
        <v>103.72</v>
      </c>
      <c r="O35" s="16">
        <f t="shared" si="0"/>
        <v>3487.57</v>
      </c>
      <c r="P35" s="30">
        <f>992.53+166.6</f>
        <v>1159.1299999999999</v>
      </c>
      <c r="Q35" s="29">
        <f>596.77+28.39</f>
        <v>625.16</v>
      </c>
      <c r="R35" s="19">
        <f t="shared" si="1"/>
        <v>4021.54</v>
      </c>
    </row>
    <row r="36" spans="1:18" x14ac:dyDescent="0.25">
      <c r="A36" s="107"/>
      <c r="B36" s="31"/>
      <c r="C36" s="31"/>
      <c r="D36" s="31" t="s">
        <v>73</v>
      </c>
      <c r="E36" s="69"/>
      <c r="F36" s="70"/>
      <c r="G36" s="55"/>
      <c r="H36" s="33"/>
      <c r="I36" s="68"/>
      <c r="J36" s="55"/>
      <c r="K36" s="34"/>
      <c r="L36" s="34"/>
      <c r="M36" s="34"/>
      <c r="N36" s="35"/>
      <c r="O36" s="16">
        <f t="shared" si="0"/>
        <v>0</v>
      </c>
      <c r="P36" s="36"/>
      <c r="Q36" s="35"/>
      <c r="R36" s="34">
        <f t="shared" si="1"/>
        <v>0</v>
      </c>
    </row>
    <row r="37" spans="1:18" x14ac:dyDescent="0.25">
      <c r="A37" s="102" t="s">
        <v>19</v>
      </c>
      <c r="B37" s="20" t="s">
        <v>64</v>
      </c>
      <c r="C37" s="20" t="s">
        <v>50</v>
      </c>
      <c r="D37" s="20" t="s">
        <v>50</v>
      </c>
      <c r="E37" s="21">
        <v>41708</v>
      </c>
      <c r="F37" s="32">
        <v>8305.52</v>
      </c>
      <c r="G37" s="33">
        <v>8305.52</v>
      </c>
      <c r="H37" s="33">
        <v>664.44</v>
      </c>
      <c r="I37" s="48"/>
      <c r="J37" s="33"/>
      <c r="K37" s="34"/>
      <c r="L37" s="34">
        <v>951.62</v>
      </c>
      <c r="M37" s="34">
        <v>1192.04</v>
      </c>
      <c r="N37" s="34">
        <f>1+231.56</f>
        <v>232.56</v>
      </c>
      <c r="O37" s="16">
        <f t="shared" si="0"/>
        <v>6593.7400000000007</v>
      </c>
      <c r="P37" s="34">
        <f>992.53</f>
        <v>992.53</v>
      </c>
      <c r="Q37" s="34">
        <f>1523.06+407.79+83.06</f>
        <v>2013.9099999999999</v>
      </c>
      <c r="R37" s="25">
        <f t="shared" si="1"/>
        <v>5572.3600000000006</v>
      </c>
    </row>
    <row r="38" spans="1:18" x14ac:dyDescent="0.25">
      <c r="A38" s="108" t="s">
        <v>20</v>
      </c>
      <c r="B38" s="45" t="s">
        <v>61</v>
      </c>
      <c r="C38" s="71" t="s">
        <v>57</v>
      </c>
      <c r="D38" s="71" t="s">
        <v>57</v>
      </c>
      <c r="E38" s="72">
        <v>41830</v>
      </c>
      <c r="F38" s="73">
        <v>8305.52</v>
      </c>
      <c r="G38" s="74">
        <v>8305.52</v>
      </c>
      <c r="H38" s="74">
        <f>415.28+664.44</f>
        <v>1079.72</v>
      </c>
      <c r="I38" s="74"/>
      <c r="J38" s="74"/>
      <c r="K38" s="49"/>
      <c r="L38" s="49">
        <f>951.62</f>
        <v>951.62</v>
      </c>
      <c r="M38" s="49">
        <v>1254.0999999999999</v>
      </c>
      <c r="N38" s="49">
        <f>1</f>
        <v>1</v>
      </c>
      <c r="O38" s="16">
        <f t="shared" si="0"/>
        <v>7178.5199999999986</v>
      </c>
      <c r="P38" s="49">
        <f>992.53</f>
        <v>992.53</v>
      </c>
      <c r="Q38" s="49">
        <f>673.95+1647.13+164.84+83.06</f>
        <v>2568.98</v>
      </c>
      <c r="R38" s="19">
        <f t="shared" si="1"/>
        <v>5602.0699999999979</v>
      </c>
    </row>
    <row r="39" spans="1:18" x14ac:dyDescent="0.25">
      <c r="A39" s="104" t="s">
        <v>21</v>
      </c>
      <c r="B39" s="45" t="s">
        <v>63</v>
      </c>
      <c r="C39" s="45" t="s">
        <v>50</v>
      </c>
      <c r="D39" s="13" t="s">
        <v>50</v>
      </c>
      <c r="E39" s="46">
        <v>39022</v>
      </c>
      <c r="F39" s="47">
        <v>7221.29</v>
      </c>
      <c r="G39" s="48">
        <f>6739.87+26.26</f>
        <v>6766.13</v>
      </c>
      <c r="H39" s="48">
        <v>539.19000000000005</v>
      </c>
      <c r="I39" s="48"/>
      <c r="J39" s="48"/>
      <c r="K39" s="49"/>
      <c r="L39" s="49">
        <v>853.48</v>
      </c>
      <c r="M39" s="49">
        <v>761.25</v>
      </c>
      <c r="N39" s="49">
        <f>1+231.56</f>
        <v>232.56</v>
      </c>
      <c r="O39" s="16">
        <f t="shared" si="0"/>
        <v>5458.03</v>
      </c>
      <c r="P39" s="49">
        <f>992.53</f>
        <v>992.53</v>
      </c>
      <c r="Q39" s="49">
        <f>72.21</f>
        <v>72.209999999999994</v>
      </c>
      <c r="R39" s="19">
        <f t="shared" si="1"/>
        <v>6378.3499999999995</v>
      </c>
    </row>
    <row r="40" spans="1:18" x14ac:dyDescent="0.25">
      <c r="A40" s="103" t="s">
        <v>22</v>
      </c>
      <c r="B40" s="13" t="s">
        <v>61</v>
      </c>
      <c r="C40" s="65" t="s">
        <v>71</v>
      </c>
      <c r="D40" s="13" t="s">
        <v>85</v>
      </c>
      <c r="E40" s="75">
        <v>44565</v>
      </c>
      <c r="F40" s="38">
        <v>8217.64</v>
      </c>
      <c r="G40" s="38">
        <v>8217.64</v>
      </c>
      <c r="H40" s="128"/>
      <c r="I40" s="15"/>
      <c r="J40" s="128"/>
      <c r="K40" s="126"/>
      <c r="L40" s="18">
        <v>951.62</v>
      </c>
      <c r="M40" s="18">
        <v>1089.43</v>
      </c>
      <c r="N40" s="39">
        <f>1+165.4</f>
        <v>166.4</v>
      </c>
      <c r="O40" s="16">
        <f t="shared" si="0"/>
        <v>6010.19</v>
      </c>
      <c r="P40" s="30">
        <f>992.53</f>
        <v>992.53</v>
      </c>
      <c r="Q40" s="136"/>
      <c r="R40" s="19">
        <f t="shared" si="1"/>
        <v>7002.7199999999993</v>
      </c>
    </row>
    <row r="41" spans="1:18" x14ac:dyDescent="0.25">
      <c r="A41" s="62"/>
      <c r="B41" s="62"/>
      <c r="C41" s="76"/>
      <c r="D41" s="24" t="s">
        <v>73</v>
      </c>
      <c r="E41" s="77"/>
      <c r="F41" s="63"/>
      <c r="G41" s="63"/>
      <c r="H41" s="138"/>
      <c r="I41" s="78"/>
      <c r="J41" s="138"/>
      <c r="K41" s="139"/>
      <c r="L41" s="64"/>
      <c r="M41" s="64"/>
      <c r="N41" s="79"/>
      <c r="O41" s="16">
        <f t="shared" si="0"/>
        <v>0</v>
      </c>
      <c r="P41" s="80"/>
      <c r="Q41" s="137"/>
      <c r="R41" s="25">
        <f t="shared" si="1"/>
        <v>0</v>
      </c>
    </row>
    <row r="42" spans="1:18" x14ac:dyDescent="0.25">
      <c r="A42" s="109" t="s">
        <v>78</v>
      </c>
      <c r="B42" s="13" t="s">
        <v>61</v>
      </c>
      <c r="C42" s="81" t="s">
        <v>57</v>
      </c>
      <c r="D42" s="51" t="s">
        <v>86</v>
      </c>
      <c r="E42" s="66">
        <v>45475</v>
      </c>
      <c r="F42" s="82">
        <v>8217.64</v>
      </c>
      <c r="G42" s="38">
        <v>6026.27</v>
      </c>
      <c r="H42" s="15"/>
      <c r="I42" s="83"/>
      <c r="J42" s="84">
        <v>1917.45</v>
      </c>
      <c r="K42" s="16"/>
      <c r="L42" s="18">
        <f>451.76+149.8</f>
        <v>601.55999999999995</v>
      </c>
      <c r="M42" s="18">
        <v>581.51</v>
      </c>
      <c r="N42" s="39">
        <f>1</f>
        <v>1</v>
      </c>
      <c r="O42" s="16">
        <f t="shared" si="0"/>
        <v>6759.65</v>
      </c>
      <c r="P42" s="30">
        <f>992.53</f>
        <v>992.53</v>
      </c>
      <c r="Q42" s="85"/>
      <c r="R42" s="19">
        <f t="shared" si="1"/>
        <v>7752.1799999999994</v>
      </c>
    </row>
    <row r="43" spans="1:18" x14ac:dyDescent="0.25">
      <c r="A43" s="110"/>
      <c r="B43" s="20"/>
      <c r="C43" s="57"/>
      <c r="D43" s="54" t="s">
        <v>73</v>
      </c>
      <c r="E43" s="69"/>
      <c r="F43" s="86"/>
      <c r="G43" s="42"/>
      <c r="H43" s="22"/>
      <c r="I43" s="87"/>
      <c r="J43" s="88"/>
      <c r="K43" s="23"/>
      <c r="L43" s="43"/>
      <c r="M43" s="43"/>
      <c r="N43" s="44"/>
      <c r="O43" s="16">
        <f t="shared" si="0"/>
        <v>0</v>
      </c>
      <c r="P43" s="36"/>
      <c r="Q43" s="89"/>
      <c r="R43" s="34">
        <f t="shared" si="1"/>
        <v>0</v>
      </c>
    </row>
    <row r="44" spans="1:18" x14ac:dyDescent="0.25">
      <c r="A44" s="102" t="s">
        <v>23</v>
      </c>
      <c r="B44" s="20" t="s">
        <v>61</v>
      </c>
      <c r="C44" s="57" t="s">
        <v>57</v>
      </c>
      <c r="D44" s="57" t="s">
        <v>57</v>
      </c>
      <c r="E44" s="21">
        <v>41730</v>
      </c>
      <c r="F44" s="32">
        <v>8305.52</v>
      </c>
      <c r="G44" s="33">
        <v>8305.52</v>
      </c>
      <c r="H44" s="33">
        <f>415.28+664.44</f>
        <v>1079.72</v>
      </c>
      <c r="I44" s="33"/>
      <c r="J44" s="33"/>
      <c r="K44" s="34"/>
      <c r="L44" s="34">
        <v>951.62</v>
      </c>
      <c r="M44" s="34">
        <v>1410.52</v>
      </c>
      <c r="N44" s="34">
        <f>1</f>
        <v>1</v>
      </c>
      <c r="O44" s="16">
        <f t="shared" si="0"/>
        <v>7022.0999999999985</v>
      </c>
      <c r="P44" s="34">
        <f>992.53</f>
        <v>992.53</v>
      </c>
      <c r="Q44" s="34">
        <f>1003.3+7.2</f>
        <v>1010.5</v>
      </c>
      <c r="R44" s="25">
        <f t="shared" si="1"/>
        <v>7004.1299999999983</v>
      </c>
    </row>
    <row r="45" spans="1:18" x14ac:dyDescent="0.25">
      <c r="A45" s="104" t="s">
        <v>24</v>
      </c>
      <c r="B45" s="45" t="s">
        <v>61</v>
      </c>
      <c r="C45" s="45" t="s">
        <v>49</v>
      </c>
      <c r="D45" s="45" t="s">
        <v>49</v>
      </c>
      <c r="E45" s="46">
        <v>41823</v>
      </c>
      <c r="F45" s="47">
        <v>2864.79</v>
      </c>
      <c r="G45" s="48">
        <v>2864.79</v>
      </c>
      <c r="H45" s="48">
        <f>143.24+229.18</f>
        <v>372.42</v>
      </c>
      <c r="I45" s="48"/>
      <c r="J45" s="48"/>
      <c r="K45" s="49"/>
      <c r="L45" s="49">
        <v>281.86</v>
      </c>
      <c r="M45" s="49">
        <v>15.09</v>
      </c>
      <c r="N45" s="49">
        <f>1+71.62</f>
        <v>72.62</v>
      </c>
      <c r="O45" s="16">
        <f t="shared" si="0"/>
        <v>2867.64</v>
      </c>
      <c r="P45" s="49">
        <f>992.53+196.2</f>
        <v>1188.73</v>
      </c>
      <c r="Q45" s="49">
        <f>28.65</f>
        <v>28.65</v>
      </c>
      <c r="R45" s="19">
        <f t="shared" si="1"/>
        <v>4027.72</v>
      </c>
    </row>
    <row r="46" spans="1:18" x14ac:dyDescent="0.25">
      <c r="A46" s="104" t="s">
        <v>25</v>
      </c>
      <c r="B46" s="45" t="s">
        <v>61</v>
      </c>
      <c r="C46" s="45" t="s">
        <v>50</v>
      </c>
      <c r="D46" s="45" t="s">
        <v>87</v>
      </c>
      <c r="E46" s="46">
        <v>39295</v>
      </c>
      <c r="F46" s="47">
        <v>9628.0400000000009</v>
      </c>
      <c r="G46" s="48">
        <v>8023.37</v>
      </c>
      <c r="H46" s="48">
        <f>401.17+641.87+1114.04</f>
        <v>2157.08</v>
      </c>
      <c r="I46" s="48"/>
      <c r="J46" s="48"/>
      <c r="K46" s="49"/>
      <c r="L46" s="49">
        <v>286.88</v>
      </c>
      <c r="M46" s="49">
        <v>1723.91</v>
      </c>
      <c r="N46" s="49">
        <f>1+198.48</f>
        <v>199.48</v>
      </c>
      <c r="O46" s="16">
        <f t="shared" si="0"/>
        <v>7970.1800000000021</v>
      </c>
      <c r="P46" s="49">
        <f>992.53</f>
        <v>992.53</v>
      </c>
      <c r="Q46" s="49">
        <f>1793.5+413.5+258.99+528.91+90.05+96.28</f>
        <v>3181.23</v>
      </c>
      <c r="R46" s="19">
        <f t="shared" si="1"/>
        <v>5781.4800000000032</v>
      </c>
    </row>
    <row r="47" spans="1:18" x14ac:dyDescent="0.25">
      <c r="A47" s="104" t="s">
        <v>26</v>
      </c>
      <c r="B47" s="45" t="s">
        <v>61</v>
      </c>
      <c r="C47" s="45" t="s">
        <v>58</v>
      </c>
      <c r="D47" s="45" t="s">
        <v>58</v>
      </c>
      <c r="E47" s="46">
        <v>35309</v>
      </c>
      <c r="F47" s="47">
        <v>2840.81</v>
      </c>
      <c r="G47" s="48">
        <v>2840.81</v>
      </c>
      <c r="H47" s="48"/>
      <c r="I47" s="48"/>
      <c r="J47" s="48"/>
      <c r="K47" s="49"/>
      <c r="L47" s="49">
        <v>234.3</v>
      </c>
      <c r="M47" s="49">
        <v>0</v>
      </c>
      <c r="N47" s="49">
        <f>1+71.02</f>
        <v>72.02</v>
      </c>
      <c r="O47" s="16">
        <f t="shared" si="0"/>
        <v>2534.4899999999998</v>
      </c>
      <c r="P47" s="49">
        <f>992.53+383.4</f>
        <v>1375.9299999999998</v>
      </c>
      <c r="Q47" s="49">
        <f>378+236+28.41</f>
        <v>642.41</v>
      </c>
      <c r="R47" s="19">
        <f t="shared" si="1"/>
        <v>3268.0099999999998</v>
      </c>
    </row>
    <row r="48" spans="1:18" x14ac:dyDescent="0.25">
      <c r="A48" s="104" t="s">
        <v>27</v>
      </c>
      <c r="B48" s="45" t="s">
        <v>61</v>
      </c>
      <c r="C48" s="45" t="s">
        <v>49</v>
      </c>
      <c r="D48" s="45" t="s">
        <v>88</v>
      </c>
      <c r="E48" s="46">
        <v>35829</v>
      </c>
      <c r="F48" s="47">
        <v>3965.54</v>
      </c>
      <c r="G48" s="48">
        <v>3965.54</v>
      </c>
      <c r="H48" s="48">
        <v>1336.85</v>
      </c>
      <c r="I48" s="48"/>
      <c r="J48" s="48"/>
      <c r="K48" s="49"/>
      <c r="L48" s="49">
        <v>551.91</v>
      </c>
      <c r="M48" s="49">
        <v>382.45</v>
      </c>
      <c r="N48" s="49">
        <f>1+99.14</f>
        <v>100.14</v>
      </c>
      <c r="O48" s="16">
        <f t="shared" si="0"/>
        <v>4267.8899999999994</v>
      </c>
      <c r="P48" s="49">
        <f>992.53+137.2</f>
        <v>1129.73</v>
      </c>
      <c r="Q48" s="49">
        <f>661.39+407+720.51+244.36+39.66</f>
        <v>2072.9199999999996</v>
      </c>
      <c r="R48" s="19">
        <f t="shared" si="1"/>
        <v>3324.6999999999994</v>
      </c>
    </row>
    <row r="49" spans="1:18" x14ac:dyDescent="0.25">
      <c r="A49" s="104" t="s">
        <v>28</v>
      </c>
      <c r="B49" s="45" t="s">
        <v>61</v>
      </c>
      <c r="C49" s="45" t="s">
        <v>50</v>
      </c>
      <c r="D49" s="13" t="s">
        <v>50</v>
      </c>
      <c r="E49" s="46">
        <v>41505</v>
      </c>
      <c r="F49" s="47">
        <v>6416.01</v>
      </c>
      <c r="G49" s="48">
        <v>6416.01</v>
      </c>
      <c r="H49" s="48">
        <f>320.8+513.28</f>
        <v>834.07999999999993</v>
      </c>
      <c r="I49" s="48"/>
      <c r="J49" s="48"/>
      <c r="K49" s="49"/>
      <c r="L49" s="49">
        <v>824.59</v>
      </c>
      <c r="M49" s="49">
        <v>806.15</v>
      </c>
      <c r="N49" s="49">
        <f>1+165.4</f>
        <v>166.4</v>
      </c>
      <c r="O49" s="16">
        <f t="shared" si="0"/>
        <v>5452.9500000000007</v>
      </c>
      <c r="P49" s="49">
        <f>992.53</f>
        <v>992.53</v>
      </c>
      <c r="Q49" s="49">
        <f>64.16</f>
        <v>64.16</v>
      </c>
      <c r="R49" s="19">
        <f t="shared" si="1"/>
        <v>6381.3200000000006</v>
      </c>
    </row>
    <row r="50" spans="1:18" x14ac:dyDescent="0.25">
      <c r="A50" s="103" t="s">
        <v>29</v>
      </c>
      <c r="B50" s="13" t="s">
        <v>61</v>
      </c>
      <c r="C50" s="65" t="s">
        <v>59</v>
      </c>
      <c r="D50" s="13" t="s">
        <v>89</v>
      </c>
      <c r="E50" s="14">
        <v>44201</v>
      </c>
      <c r="F50" s="38">
        <v>7826.33</v>
      </c>
      <c r="G50" s="38">
        <v>7826.33</v>
      </c>
      <c r="H50" s="128"/>
      <c r="I50" s="15"/>
      <c r="J50" s="128"/>
      <c r="K50" s="126"/>
      <c r="L50" s="18">
        <v>905.27</v>
      </c>
      <c r="M50" s="18">
        <f>942.42</f>
        <v>942.42</v>
      </c>
      <c r="N50" s="39">
        <f>1</f>
        <v>1</v>
      </c>
      <c r="O50" s="16">
        <f t="shared" si="0"/>
        <v>5977.6399999999994</v>
      </c>
      <c r="P50" s="30">
        <f>992.53</f>
        <v>992.53</v>
      </c>
      <c r="Q50" s="130">
        <f>395.81+67.11</f>
        <v>462.92</v>
      </c>
      <c r="R50" s="19">
        <f t="shared" si="1"/>
        <v>6507.2499999999991</v>
      </c>
    </row>
    <row r="51" spans="1:18" x14ac:dyDescent="0.25">
      <c r="A51" s="40"/>
      <c r="B51" s="40"/>
      <c r="C51" s="90"/>
      <c r="D51" s="24" t="s">
        <v>73</v>
      </c>
      <c r="E51" s="41"/>
      <c r="F51" s="42"/>
      <c r="G51" s="42"/>
      <c r="H51" s="129"/>
      <c r="I51" s="22"/>
      <c r="J51" s="129"/>
      <c r="K51" s="127"/>
      <c r="L51" s="43"/>
      <c r="M51" s="43"/>
      <c r="N51" s="44"/>
      <c r="O51" s="16">
        <f t="shared" si="0"/>
        <v>0</v>
      </c>
      <c r="P51" s="36"/>
      <c r="Q51" s="131"/>
      <c r="R51" s="34">
        <f t="shared" si="1"/>
        <v>0</v>
      </c>
    </row>
    <row r="52" spans="1:18" x14ac:dyDescent="0.25">
      <c r="A52" s="104" t="s">
        <v>30</v>
      </c>
      <c r="B52" s="45" t="s">
        <v>61</v>
      </c>
      <c r="C52" s="45" t="s">
        <v>49</v>
      </c>
      <c r="D52" s="45" t="s">
        <v>49</v>
      </c>
      <c r="E52" s="46">
        <v>33581</v>
      </c>
      <c r="F52" s="47">
        <v>3965.54</v>
      </c>
      <c r="G52" s="48">
        <v>3965.54</v>
      </c>
      <c r="H52" s="48"/>
      <c r="I52" s="48"/>
      <c r="J52" s="48"/>
      <c r="K52" s="49"/>
      <c r="L52" s="49">
        <v>369.26</v>
      </c>
      <c r="M52" s="49">
        <v>109.59</v>
      </c>
      <c r="N52" s="49">
        <f>1+99.14</f>
        <v>100.14</v>
      </c>
      <c r="O52" s="16">
        <f t="shared" si="0"/>
        <v>3386.5499999999997</v>
      </c>
      <c r="P52" s="49">
        <f>992.53+176.4</f>
        <v>1168.93</v>
      </c>
      <c r="Q52" s="49">
        <f>701.52+42.52+39.66</f>
        <v>783.69999999999993</v>
      </c>
      <c r="R52" s="25">
        <f t="shared" si="1"/>
        <v>3771.7799999999997</v>
      </c>
    </row>
    <row r="53" spans="1:18" x14ac:dyDescent="0.25">
      <c r="A53" s="104" t="s">
        <v>31</v>
      </c>
      <c r="B53" s="45" t="s">
        <v>61</v>
      </c>
      <c r="C53" s="45" t="s">
        <v>49</v>
      </c>
      <c r="D53" s="45" t="s">
        <v>60</v>
      </c>
      <c r="E53" s="46">
        <v>35339</v>
      </c>
      <c r="F53" s="47">
        <v>3965.54</v>
      </c>
      <c r="G53" s="48">
        <v>3965.54</v>
      </c>
      <c r="H53" s="48">
        <f>445.62+891.23</f>
        <v>1336.85</v>
      </c>
      <c r="I53" s="48"/>
      <c r="J53" s="48">
        <v>7069.85</v>
      </c>
      <c r="K53" s="49"/>
      <c r="L53" s="49">
        <f>551.91+799.36</f>
        <v>1351.27</v>
      </c>
      <c r="M53" s="49">
        <f>382.45+815.65</f>
        <v>1198.0999999999999</v>
      </c>
      <c r="N53" s="49">
        <f>1+99.14</f>
        <v>100.14</v>
      </c>
      <c r="O53" s="16">
        <f t="shared" si="0"/>
        <v>9722.73</v>
      </c>
      <c r="P53" s="49">
        <f>992.53+19.4</f>
        <v>1011.93</v>
      </c>
      <c r="Q53" s="49">
        <f>875.99+141.99+195+39.66+141.99+195+875.99</f>
        <v>2465.62</v>
      </c>
      <c r="R53" s="19">
        <f t="shared" si="1"/>
        <v>8269.0400000000009</v>
      </c>
    </row>
    <row r="54" spans="1:18" x14ac:dyDescent="0.25">
      <c r="A54" s="104" t="s">
        <v>32</v>
      </c>
      <c r="B54" s="45" t="s">
        <v>61</v>
      </c>
      <c r="C54" s="45" t="s">
        <v>49</v>
      </c>
      <c r="D54" s="45" t="s">
        <v>49</v>
      </c>
      <c r="E54" s="46">
        <v>31761</v>
      </c>
      <c r="F54" s="47">
        <v>4874.03</v>
      </c>
      <c r="G54" s="48">
        <v>4061.69</v>
      </c>
      <c r="H54" s="48">
        <f>243.7+203.08</f>
        <v>446.78</v>
      </c>
      <c r="I54" s="48"/>
      <c r="J54" s="48"/>
      <c r="K54" s="49"/>
      <c r="L54" s="49">
        <v>499.38</v>
      </c>
      <c r="M54" s="49">
        <v>183.9</v>
      </c>
      <c r="N54" s="49">
        <f>1+101.54</f>
        <v>102.54</v>
      </c>
      <c r="O54" s="16">
        <f t="shared" si="0"/>
        <v>3722.65</v>
      </c>
      <c r="P54" s="49">
        <f>992.53+176.4</f>
        <v>1168.93</v>
      </c>
      <c r="Q54" s="49">
        <f>346.36+175.78+48.74+56</f>
        <v>626.88</v>
      </c>
      <c r="R54" s="19">
        <f t="shared" si="1"/>
        <v>4264.7</v>
      </c>
    </row>
    <row r="55" spans="1:18" x14ac:dyDescent="0.25">
      <c r="A55" s="104" t="s">
        <v>33</v>
      </c>
      <c r="B55" s="45" t="s">
        <v>61</v>
      </c>
      <c r="C55" s="45" t="s">
        <v>49</v>
      </c>
      <c r="D55" s="45" t="s">
        <v>49</v>
      </c>
      <c r="E55" s="46">
        <v>41218</v>
      </c>
      <c r="F55" s="47">
        <v>2950.73</v>
      </c>
      <c r="G55" s="48">
        <v>2950.73</v>
      </c>
      <c r="H55" s="48"/>
      <c r="I55" s="48"/>
      <c r="J55" s="48"/>
      <c r="K55" s="49"/>
      <c r="L55" s="49">
        <v>247.49</v>
      </c>
      <c r="M55" s="49">
        <v>0</v>
      </c>
      <c r="N55" s="49">
        <f>1+73.77</f>
        <v>74.77</v>
      </c>
      <c r="O55" s="16">
        <f t="shared" si="0"/>
        <v>2628.47</v>
      </c>
      <c r="P55" s="49">
        <f>992.53+176.4</f>
        <v>1168.93</v>
      </c>
      <c r="Q55" s="49">
        <f>395.81+106.19+29.51</f>
        <v>531.51</v>
      </c>
      <c r="R55" s="19">
        <f t="shared" si="1"/>
        <v>3265.8899999999994</v>
      </c>
    </row>
    <row r="56" spans="1:18" x14ac:dyDescent="0.25">
      <c r="A56" s="104" t="s">
        <v>34</v>
      </c>
      <c r="B56" s="45" t="s">
        <v>61</v>
      </c>
      <c r="C56" s="45" t="s">
        <v>50</v>
      </c>
      <c r="D56" s="45" t="s">
        <v>50</v>
      </c>
      <c r="E56" s="46">
        <v>42982</v>
      </c>
      <c r="F56" s="47">
        <v>5871.61</v>
      </c>
      <c r="G56" s="48">
        <f>3131.53+208.54</f>
        <v>3340.07</v>
      </c>
      <c r="H56" s="48">
        <f>156.58+250.52</f>
        <v>407.1</v>
      </c>
      <c r="I56" s="48"/>
      <c r="J56" s="48"/>
      <c r="K56" s="49"/>
      <c r="L56" s="49">
        <v>438.87</v>
      </c>
      <c r="M56" s="49">
        <v>76.84</v>
      </c>
      <c r="N56" s="49">
        <f>1+66.16</f>
        <v>67.16</v>
      </c>
      <c r="O56" s="16">
        <f t="shared" si="0"/>
        <v>3164.3</v>
      </c>
      <c r="P56" s="49">
        <f>992.53</f>
        <v>992.53</v>
      </c>
      <c r="Q56" s="49">
        <f>58.72</f>
        <v>58.72</v>
      </c>
      <c r="R56" s="19">
        <f t="shared" si="1"/>
        <v>4098.1099999999997</v>
      </c>
    </row>
    <row r="57" spans="1:18" x14ac:dyDescent="0.25">
      <c r="A57" s="104" t="s">
        <v>35</v>
      </c>
      <c r="B57" s="45" t="s">
        <v>61</v>
      </c>
      <c r="C57" s="45" t="s">
        <v>53</v>
      </c>
      <c r="D57" s="45" t="s">
        <v>53</v>
      </c>
      <c r="E57" s="46">
        <v>41823</v>
      </c>
      <c r="F57" s="47">
        <v>4983.3100000000004</v>
      </c>
      <c r="G57" s="48">
        <v>4983.3100000000004</v>
      </c>
      <c r="H57" s="48">
        <f>249.17+398.66</f>
        <v>647.83000000000004</v>
      </c>
      <c r="I57" s="48"/>
      <c r="J57" s="48"/>
      <c r="K57" s="49"/>
      <c r="L57" s="49">
        <v>597.94000000000005</v>
      </c>
      <c r="M57" s="49">
        <v>472.85</v>
      </c>
      <c r="N57" s="49">
        <f>1+124.58+165.4</f>
        <v>290.98</v>
      </c>
      <c r="O57" s="16">
        <f t="shared" si="0"/>
        <v>4269.3700000000008</v>
      </c>
      <c r="P57" s="49">
        <f>992.53+127.4</f>
        <v>1119.93</v>
      </c>
      <c r="Q57" s="49">
        <f>49.83</f>
        <v>49.83</v>
      </c>
      <c r="R57" s="19">
        <f t="shared" si="1"/>
        <v>5339.4700000000012</v>
      </c>
    </row>
    <row r="58" spans="1:18" x14ac:dyDescent="0.25">
      <c r="A58" s="104" t="s">
        <v>36</v>
      </c>
      <c r="B58" s="45" t="s">
        <v>61</v>
      </c>
      <c r="C58" s="45" t="s">
        <v>50</v>
      </c>
      <c r="D58" s="13" t="s">
        <v>50</v>
      </c>
      <c r="E58" s="46">
        <v>41708</v>
      </c>
      <c r="F58" s="47">
        <v>6229.13</v>
      </c>
      <c r="G58" s="48">
        <v>6229.13</v>
      </c>
      <c r="H58" s="48">
        <f>311.46+498.33</f>
        <v>809.79</v>
      </c>
      <c r="I58" s="48"/>
      <c r="J58" s="48"/>
      <c r="K58" s="49"/>
      <c r="L58" s="49">
        <v>0</v>
      </c>
      <c r="M58" s="49">
        <v>859.99</v>
      </c>
      <c r="N58" s="49">
        <f>1+198.48</f>
        <v>199.48</v>
      </c>
      <c r="O58" s="16">
        <f t="shared" si="0"/>
        <v>5979.4500000000007</v>
      </c>
      <c r="P58" s="49">
        <f>992.53</f>
        <v>992.53</v>
      </c>
      <c r="Q58" s="49">
        <f>62.29</f>
        <v>62.29</v>
      </c>
      <c r="R58" s="19">
        <f t="shared" si="1"/>
        <v>6909.6900000000005</v>
      </c>
    </row>
    <row r="59" spans="1:18" x14ac:dyDescent="0.25">
      <c r="A59" s="103" t="s">
        <v>37</v>
      </c>
      <c r="B59" s="13" t="s">
        <v>61</v>
      </c>
      <c r="C59" s="65" t="s">
        <v>50</v>
      </c>
      <c r="D59" s="13" t="s">
        <v>90</v>
      </c>
      <c r="E59" s="75">
        <v>36739</v>
      </c>
      <c r="F59" s="38">
        <v>10836.44</v>
      </c>
      <c r="G59" s="38">
        <f>9752.8+26.35</f>
        <v>9779.15</v>
      </c>
      <c r="H59" s="38">
        <f>487.64+780.22+3521.84</f>
        <v>4789.7000000000007</v>
      </c>
      <c r="I59" s="38"/>
      <c r="J59" s="38"/>
      <c r="K59" s="126"/>
      <c r="L59" s="19">
        <v>856.46</v>
      </c>
      <c r="M59" s="18">
        <v>2862.18</v>
      </c>
      <c r="N59" s="39">
        <f>1+165.4</f>
        <v>166.4</v>
      </c>
      <c r="O59" s="16">
        <f t="shared" si="0"/>
        <v>10683.81</v>
      </c>
      <c r="P59" s="30">
        <f>992.53</f>
        <v>992.53</v>
      </c>
      <c r="Q59" s="39">
        <f>108.36</f>
        <v>108.36</v>
      </c>
      <c r="R59" s="19">
        <f t="shared" si="1"/>
        <v>11567.98</v>
      </c>
    </row>
    <row r="60" spans="1:18" x14ac:dyDescent="0.25">
      <c r="A60" s="40"/>
      <c r="B60" s="40"/>
      <c r="C60" s="90"/>
      <c r="D60" s="20" t="s">
        <v>72</v>
      </c>
      <c r="E60" s="91"/>
      <c r="F60" s="42"/>
      <c r="G60" s="42"/>
      <c r="H60" s="42"/>
      <c r="I60" s="42"/>
      <c r="J60" s="42"/>
      <c r="K60" s="127"/>
      <c r="L60" s="34"/>
      <c r="M60" s="43"/>
      <c r="N60" s="44"/>
      <c r="O60" s="16">
        <f t="shared" si="0"/>
        <v>0</v>
      </c>
      <c r="P60" s="36"/>
      <c r="Q60" s="44"/>
      <c r="R60" s="34">
        <f t="shared" si="1"/>
        <v>0</v>
      </c>
    </row>
    <row r="61" spans="1:18" x14ac:dyDescent="0.25">
      <c r="A61" s="101" t="s">
        <v>38</v>
      </c>
      <c r="B61" s="13" t="s">
        <v>62</v>
      </c>
      <c r="C61" s="13" t="s">
        <v>50</v>
      </c>
      <c r="D61" s="24" t="s">
        <v>50</v>
      </c>
      <c r="E61" s="14">
        <v>36342</v>
      </c>
      <c r="F61" s="26">
        <v>8127.61</v>
      </c>
      <c r="G61" s="27">
        <v>8127.61</v>
      </c>
      <c r="H61" s="27">
        <v>650.21</v>
      </c>
      <c r="I61" s="48"/>
      <c r="J61" s="27"/>
      <c r="K61" s="19"/>
      <c r="L61" s="19">
        <v>951.62</v>
      </c>
      <c r="M61" s="19">
        <v>1191.3399999999999</v>
      </c>
      <c r="N61" s="19">
        <f>1+231.56</f>
        <v>232.56</v>
      </c>
      <c r="O61" s="16">
        <f t="shared" si="0"/>
        <v>6402.2999999999993</v>
      </c>
      <c r="P61" s="19">
        <f>992.53</f>
        <v>992.53</v>
      </c>
      <c r="Q61" s="19">
        <f>81.28</f>
        <v>81.28</v>
      </c>
      <c r="R61" s="25">
        <f t="shared" si="1"/>
        <v>7313.5499999999993</v>
      </c>
    </row>
    <row r="62" spans="1:18" x14ac:dyDescent="0.25">
      <c r="A62" s="111" t="s">
        <v>98</v>
      </c>
      <c r="B62" s="65" t="s">
        <v>61</v>
      </c>
      <c r="C62" s="93" t="s">
        <v>99</v>
      </c>
      <c r="D62" s="65" t="s">
        <v>100</v>
      </c>
      <c r="E62" s="66">
        <v>45607</v>
      </c>
      <c r="F62" s="67">
        <v>4108.83</v>
      </c>
      <c r="G62" s="52">
        <v>4108.83</v>
      </c>
      <c r="H62" s="27"/>
      <c r="I62" s="68"/>
      <c r="J62" s="52"/>
      <c r="K62" s="29"/>
      <c r="L62" s="29">
        <v>386.46</v>
      </c>
      <c r="M62" s="29">
        <v>131.08000000000001</v>
      </c>
      <c r="N62" s="29">
        <f>1+102.72</f>
        <v>103.72</v>
      </c>
      <c r="O62" s="16">
        <f t="shared" si="0"/>
        <v>3487.57</v>
      </c>
      <c r="P62" s="124">
        <f>992.53+176.4</f>
        <v>1168.93</v>
      </c>
      <c r="Q62" s="29">
        <v>0</v>
      </c>
      <c r="R62" s="19">
        <f t="shared" ref="R62" si="2">O62+P62-Q62</f>
        <v>4656.5</v>
      </c>
    </row>
    <row r="63" spans="1:18" x14ac:dyDescent="0.25">
      <c r="A63" s="92"/>
      <c r="B63" s="31"/>
      <c r="C63" s="94"/>
      <c r="D63" s="31" t="s">
        <v>73</v>
      </c>
      <c r="E63" s="96"/>
      <c r="F63" s="96"/>
      <c r="G63" s="96"/>
      <c r="H63" s="95"/>
      <c r="I63" s="97"/>
      <c r="J63" s="98"/>
      <c r="K63" s="99"/>
      <c r="L63" s="99"/>
      <c r="M63" s="99"/>
      <c r="N63" s="99"/>
      <c r="O63" s="23">
        <f t="shared" si="0"/>
        <v>0</v>
      </c>
      <c r="P63" s="125"/>
      <c r="Q63" s="99"/>
      <c r="R63" s="100"/>
    </row>
    <row r="64" spans="1:18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R64" s="12"/>
    </row>
    <row r="65" spans="1:18" x14ac:dyDescent="0.25">
      <c r="A65" s="4" t="s">
        <v>74</v>
      </c>
      <c r="B65" s="5"/>
      <c r="C65" s="5"/>
      <c r="D65" s="5"/>
      <c r="K65" s="1"/>
      <c r="R65" s="10"/>
    </row>
    <row r="66" spans="1:18" x14ac:dyDescent="0.25">
      <c r="A66" s="4" t="s">
        <v>75</v>
      </c>
      <c r="B66" s="5"/>
      <c r="C66" s="5"/>
      <c r="D66" s="5"/>
      <c r="P66" s="6"/>
    </row>
    <row r="67" spans="1:18" x14ac:dyDescent="0.25">
      <c r="A67" s="4" t="s">
        <v>76</v>
      </c>
      <c r="B67" s="5"/>
      <c r="C67" s="5"/>
      <c r="D67" s="5"/>
      <c r="R67" s="11"/>
    </row>
    <row r="68" spans="1:18" x14ac:dyDescent="0.25">
      <c r="A68" s="4" t="s">
        <v>103</v>
      </c>
      <c r="P68" s="6"/>
      <c r="Q68" s="6"/>
      <c r="R68" s="11"/>
    </row>
    <row r="69" spans="1:18" x14ac:dyDescent="0.25">
      <c r="P69" s="6"/>
      <c r="Q69" s="6"/>
      <c r="R69" s="11"/>
    </row>
    <row r="70" spans="1:18" x14ac:dyDescent="0.25">
      <c r="P70" s="6"/>
      <c r="Q70" s="6"/>
      <c r="R70" s="10"/>
    </row>
    <row r="71" spans="1:18" x14ac:dyDescent="0.25">
      <c r="P71" s="7"/>
      <c r="Q71" s="6"/>
      <c r="R71" s="10"/>
    </row>
    <row r="72" spans="1:18" x14ac:dyDescent="0.25">
      <c r="O72" s="117"/>
      <c r="P72" s="118"/>
      <c r="Q72" s="6"/>
      <c r="R72" s="10"/>
    </row>
    <row r="73" spans="1:18" x14ac:dyDescent="0.25">
      <c r="D73" s="117"/>
      <c r="O73" s="117"/>
      <c r="P73" s="118"/>
      <c r="Q73" s="6"/>
      <c r="R73" s="1"/>
    </row>
    <row r="74" spans="1:18" x14ac:dyDescent="0.25">
      <c r="D74" s="117"/>
      <c r="O74" s="11">
        <f>SUM(O70:O72)</f>
        <v>0</v>
      </c>
      <c r="P74" s="118"/>
      <c r="Q74" s="6"/>
      <c r="R74" s="1"/>
    </row>
    <row r="75" spans="1:18" x14ac:dyDescent="0.25">
      <c r="D75" s="117"/>
      <c r="O75" s="117"/>
      <c r="P75" s="118"/>
      <c r="Q75" s="6"/>
      <c r="R75" s="1"/>
    </row>
    <row r="76" spans="1:18" x14ac:dyDescent="0.25">
      <c r="O76" s="117"/>
      <c r="P76" s="118"/>
      <c r="Q76" s="6"/>
      <c r="R76" s="1"/>
    </row>
    <row r="77" spans="1:18" x14ac:dyDescent="0.25">
      <c r="P77" s="6"/>
      <c r="Q77" s="6"/>
      <c r="R77" s="1"/>
    </row>
    <row r="78" spans="1:18" x14ac:dyDescent="0.25">
      <c r="D78" s="6"/>
      <c r="P78" s="6"/>
      <c r="Q78" s="6"/>
      <c r="R78" s="1"/>
    </row>
    <row r="79" spans="1:18" x14ac:dyDescent="0.25">
      <c r="O79" s="6"/>
      <c r="R79" s="11"/>
    </row>
    <row r="80" spans="1:18" x14ac:dyDescent="0.25">
      <c r="M80" s="6"/>
      <c r="P80" s="1"/>
      <c r="Q80" s="1"/>
      <c r="R80" s="11"/>
    </row>
    <row r="81" spans="18:20" x14ac:dyDescent="0.25">
      <c r="R81" s="11"/>
    </row>
    <row r="82" spans="18:20" x14ac:dyDescent="0.25">
      <c r="R82" s="11"/>
    </row>
    <row r="83" spans="18:20" x14ac:dyDescent="0.25">
      <c r="R83" s="11"/>
      <c r="T83" s="1"/>
    </row>
    <row r="84" spans="18:20" x14ac:dyDescent="0.25">
      <c r="R84" s="10"/>
    </row>
    <row r="85" spans="18:20" x14ac:dyDescent="0.25">
      <c r="R85" s="10"/>
    </row>
    <row r="86" spans="18:20" x14ac:dyDescent="0.25">
      <c r="R86" s="10"/>
    </row>
    <row r="87" spans="18:20" x14ac:dyDescent="0.25">
      <c r="R87" s="10"/>
    </row>
    <row r="88" spans="18:20" x14ac:dyDescent="0.25">
      <c r="R88" s="10"/>
    </row>
    <row r="89" spans="18:20" x14ac:dyDescent="0.25">
      <c r="R89" s="10"/>
    </row>
    <row r="91" spans="18:20" x14ac:dyDescent="0.25">
      <c r="R91" s="1"/>
    </row>
  </sheetData>
  <mergeCells count="17">
    <mergeCell ref="Q40:Q41"/>
    <mergeCell ref="K30:K31"/>
    <mergeCell ref="H40:H41"/>
    <mergeCell ref="J40:J41"/>
    <mergeCell ref="K40:K41"/>
    <mergeCell ref="J8:K8"/>
    <mergeCell ref="A7:R7"/>
    <mergeCell ref="H17:H18"/>
    <mergeCell ref="J17:J18"/>
    <mergeCell ref="K17:K18"/>
    <mergeCell ref="G8:H8"/>
    <mergeCell ref="L8:M8"/>
    <mergeCell ref="K59:K60"/>
    <mergeCell ref="H50:H51"/>
    <mergeCell ref="J50:J51"/>
    <mergeCell ref="K50:K51"/>
    <mergeCell ref="Q50:Q51"/>
  </mergeCells>
  <pageMargins left="0.511811024" right="0.511811024" top="0.78740157499999996" bottom="0.78740157499999996" header="0.31496062000000002" footer="0.31496062000000002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 Móvel 02</dc:creator>
  <cp:lastModifiedBy>KLEBER SANTOS DE MORAIS</cp:lastModifiedBy>
  <cp:lastPrinted>2024-06-04T13:55:22Z</cp:lastPrinted>
  <dcterms:created xsi:type="dcterms:W3CDTF">2015-03-19T13:17:23Z</dcterms:created>
  <dcterms:modified xsi:type="dcterms:W3CDTF">2025-10-30T10:55:48Z</dcterms:modified>
</cp:coreProperties>
</file>