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65A6BDCE-6E3D-41C1-A315-2601083DC70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Novembr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55" l="1"/>
  <c r="R18" i="55"/>
  <c r="Q51" i="55"/>
  <c r="L51" i="55"/>
  <c r="Q49" i="55"/>
  <c r="L49" i="55"/>
  <c r="Q35" i="55"/>
  <c r="M35" i="55"/>
  <c r="L35" i="55"/>
  <c r="Q33" i="55"/>
  <c r="M33" i="55"/>
  <c r="L33" i="55"/>
  <c r="Q31" i="55"/>
  <c r="M31" i="55"/>
  <c r="L31" i="55"/>
  <c r="N63" i="55" l="1"/>
  <c r="P63" i="55"/>
  <c r="N62" i="55"/>
  <c r="P60" i="55"/>
  <c r="G60" i="55"/>
  <c r="N60" i="55"/>
  <c r="H60" i="55"/>
  <c r="N59" i="55"/>
  <c r="N58" i="55"/>
  <c r="P58" i="55"/>
  <c r="N57" i="55"/>
  <c r="H57" i="55"/>
  <c r="Q56" i="55"/>
  <c r="P56" i="55"/>
  <c r="Q55" i="55"/>
  <c r="P55" i="55"/>
  <c r="N55" i="55"/>
  <c r="H55" i="55"/>
  <c r="N54" i="55"/>
  <c r="Q54" i="55"/>
  <c r="P54" i="55"/>
  <c r="Q53" i="55"/>
  <c r="P53" i="55"/>
  <c r="N50" i="55"/>
  <c r="P49" i="55"/>
  <c r="H49" i="55"/>
  <c r="P48" i="55"/>
  <c r="Q47" i="55"/>
  <c r="N47" i="55"/>
  <c r="H47" i="55"/>
  <c r="P46" i="55"/>
  <c r="Q45" i="55"/>
  <c r="N41" i="55"/>
  <c r="N40" i="55"/>
  <c r="Q39" i="55"/>
  <c r="N38" i="55"/>
  <c r="Q36" i="55"/>
  <c r="P36" i="55"/>
  <c r="P35" i="55"/>
  <c r="P34" i="55"/>
  <c r="Q30" i="55"/>
  <c r="P30" i="55"/>
  <c r="N30" i="55"/>
  <c r="Q27" i="55"/>
  <c r="P27" i="55"/>
  <c r="L27" i="55"/>
  <c r="H27" i="55"/>
  <c r="Q26" i="55"/>
  <c r="N26" i="55"/>
  <c r="Q24" i="55"/>
  <c r="P24" i="55" l="1"/>
  <c r="N24" i="55"/>
  <c r="H24" i="55"/>
  <c r="P23" i="55"/>
  <c r="N23" i="55"/>
  <c r="H23" i="55"/>
  <c r="P21" i="55"/>
  <c r="N21" i="55"/>
  <c r="O21" i="55" s="1"/>
  <c r="R21" i="55" s="1"/>
  <c r="P20" i="55"/>
  <c r="N19" i="55"/>
  <c r="P19" i="55"/>
  <c r="N17" i="55"/>
  <c r="G17" i="55"/>
  <c r="P16" i="55"/>
  <c r="N16" i="55"/>
  <c r="Q14" i="55"/>
  <c r="P14" i="55"/>
  <c r="N14" i="55"/>
  <c r="O14" i="55" s="1"/>
  <c r="Q12" i="55"/>
  <c r="N12" i="55"/>
  <c r="Q10" i="55"/>
  <c r="P10" i="55"/>
  <c r="O75" i="55"/>
  <c r="Q62" i="55"/>
  <c r="P62" i="55"/>
  <c r="Q60" i="55"/>
  <c r="Q59" i="55"/>
  <c r="P59" i="55"/>
  <c r="Q58" i="55"/>
  <c r="H58" i="55"/>
  <c r="Q57" i="55"/>
  <c r="P57" i="55"/>
  <c r="N56" i="55"/>
  <c r="N53" i="55"/>
  <c r="P51" i="55"/>
  <c r="M51" i="55"/>
  <c r="Q50" i="55"/>
  <c r="P50" i="55"/>
  <c r="N49" i="55"/>
  <c r="Q48" i="55"/>
  <c r="N48" i="55"/>
  <c r="P47" i="55"/>
  <c r="Q46" i="55"/>
  <c r="N46" i="55"/>
  <c r="P45" i="55"/>
  <c r="H45" i="55"/>
  <c r="P43" i="55"/>
  <c r="P41" i="55"/>
  <c r="Q40" i="55"/>
  <c r="P40" i="55"/>
  <c r="P39" i="55"/>
  <c r="Q38" i="55"/>
  <c r="P38" i="55"/>
  <c r="N36" i="55"/>
  <c r="N35" i="55"/>
  <c r="Q34" i="55"/>
  <c r="N34" i="55"/>
  <c r="P33" i="55"/>
  <c r="P28" i="55"/>
  <c r="H28" i="55"/>
  <c r="N27" i="55"/>
  <c r="P26" i="55"/>
  <c r="M26" i="55"/>
  <c r="L26" i="55"/>
  <c r="Q23" i="55"/>
  <c r="Q20" i="55"/>
  <c r="N20" i="55"/>
  <c r="L20" i="55"/>
  <c r="H20" i="55"/>
  <c r="Q19" i="55"/>
  <c r="L19" i="55"/>
  <c r="H19" i="55"/>
  <c r="P17" i="55"/>
  <c r="Q16" i="55"/>
  <c r="O16" i="55"/>
  <c r="P12" i="55"/>
  <c r="M12" i="55"/>
  <c r="L12" i="55"/>
  <c r="N10" i="55"/>
  <c r="O64" i="55"/>
  <c r="O61" i="55"/>
  <c r="O52" i="55"/>
  <c r="O44" i="55"/>
  <c r="O42" i="55"/>
  <c r="O37" i="55"/>
  <c r="O32" i="55"/>
  <c r="O29" i="55"/>
  <c r="O15" i="55"/>
  <c r="O13" i="55"/>
  <c r="M10" i="55"/>
  <c r="O20" i="55" l="1"/>
  <c r="O17" i="55"/>
  <c r="O12" i="55"/>
  <c r="O56" i="55"/>
  <c r="O53" i="55"/>
  <c r="O48" i="55"/>
  <c r="L39" i="55"/>
  <c r="O31" i="55"/>
  <c r="L10" i="55"/>
  <c r="O30" i="55" l="1"/>
  <c r="O63" i="55"/>
  <c r="O49" i="55"/>
  <c r="O54" i="55"/>
  <c r="O34" i="55"/>
  <c r="O62" i="55"/>
  <c r="H59" i="55"/>
  <c r="O55" i="55"/>
  <c r="N51" i="55"/>
  <c r="O51" i="55" s="1"/>
  <c r="H50" i="55"/>
  <c r="H46" i="55"/>
  <c r="O46" i="55" s="1"/>
  <c r="H39" i="55"/>
  <c r="O38" i="55"/>
  <c r="O36" i="55"/>
  <c r="H35" i="55"/>
  <c r="O35" i="55" s="1"/>
  <c r="O27" i="55"/>
  <c r="H26" i="55"/>
  <c r="O24" i="55"/>
  <c r="O23" i="55"/>
  <c r="O19" i="55"/>
  <c r="H10" i="55"/>
  <c r="O10" i="55" s="1"/>
  <c r="O47" i="55" l="1"/>
  <c r="O26" i="55"/>
  <c r="O50" i="55"/>
  <c r="O58" i="55"/>
  <c r="O40" i="55"/>
  <c r="O59" i="55"/>
  <c r="O57" i="55"/>
  <c r="N43" i="55"/>
  <c r="O43" i="55" s="1"/>
  <c r="O41" i="55"/>
  <c r="R12" i="55" l="1"/>
  <c r="N33" i="55" l="1"/>
  <c r="O33" i="55" s="1"/>
  <c r="O60" i="55" l="1"/>
  <c r="R63" i="55" l="1"/>
  <c r="R61" i="55" l="1"/>
  <c r="R52" i="55"/>
  <c r="R44" i="55"/>
  <c r="R42" i="55"/>
  <c r="R37" i="55"/>
  <c r="R29" i="55"/>
  <c r="R15" i="55"/>
  <c r="R31" i="55"/>
  <c r="R55" i="55" l="1"/>
  <c r="R23" i="55"/>
  <c r="R50" i="55"/>
  <c r="R59" i="55"/>
  <c r="R24" i="55"/>
  <c r="R53" i="55"/>
  <c r="R57" i="55"/>
  <c r="R38" i="55"/>
  <c r="R35" i="55"/>
  <c r="R34" i="55"/>
  <c r="R41" i="55"/>
  <c r="R62" i="55"/>
  <c r="R27" i="55"/>
  <c r="R14" i="55"/>
  <c r="R47" i="55"/>
  <c r="R20" i="55"/>
  <c r="R58" i="55"/>
  <c r="R60" i="55"/>
  <c r="R48" i="55"/>
  <c r="R56" i="55"/>
  <c r="R19" i="55"/>
  <c r="R49" i="55"/>
  <c r="R30" i="55"/>
  <c r="R36" i="55"/>
  <c r="R43" i="55"/>
  <c r="R16" i="55"/>
  <c r="R40" i="55"/>
  <c r="R46" i="55"/>
  <c r="R54" i="55"/>
  <c r="N28" i="55"/>
  <c r="O28" i="55" s="1"/>
  <c r="R17" i="55"/>
  <c r="R28" i="55" l="1"/>
  <c r="R26" i="55" l="1"/>
  <c r="R51" i="55" l="1"/>
  <c r="R33" i="55" l="1"/>
  <c r="N45" i="55"/>
  <c r="O45" i="55" s="1"/>
  <c r="N39" i="55"/>
  <c r="O39" i="55" s="1"/>
  <c r="R45" i="55" l="1"/>
  <c r="R39" i="55"/>
  <c r="R10" i="55"/>
</calcChain>
</file>

<file path=xl/sharedStrings.xml><?xml version="1.0" encoding="utf-8"?>
<sst xmlns="http://schemas.openxmlformats.org/spreadsheetml/2006/main" count="202" uniqueCount="107">
  <si>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</si>
  <si>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</si>
  <si>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</si>
  <si>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</si>
  <si>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</si>
  <si>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</si>
  <si>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</si>
  <si>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</si>
  <si>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</si>
  <si>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</si>
  <si>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</si>
  <si>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</si>
  <si>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</si>
  <si>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</si>
  <si>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</si>
  <si>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</si>
  <si>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</si>
  <si>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</si>
  <si>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</si>
  <si>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</si>
  <si>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</si>
  <si>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</si>
  <si>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</si>
  <si>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</si>
  <si>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</si>
  <si>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</si>
  <si>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</si>
  <si>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</si>
  <si>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</si>
  <si>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</si>
  <si>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</si>
  <si>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</si>
  <si>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</si>
  <si>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</si>
  <si>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</si>
  <si>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</si>
  <si>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</si>
  <si>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</si>
  <si>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</si>
  <si>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</si>
  <si>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</si>
  <si>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</si>
  <si>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</si>
  <si>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</si>
  <si>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</si>
  <si>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</si>
  <si>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</si>
  <si>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</si>
  <si>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</si>
  <si>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</si>
  <si>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</si>
  <si>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</si>
  <si>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</si>
  <si>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</si>
  <si>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</si>
  <si>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</si>
  <si>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</si>
  <si>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</si>
  <si>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</si>
  <si>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</si>
  <si>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</si>
  <si>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</si>
  <si>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</si>
  <si>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</si>
  <si>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</si>
  <si>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</si>
  <si>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</si>
  <si>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</si>
  <si>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</si>
  <si>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</si>
  <si>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</si>
  <si>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</si>
  <si>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</si>
  <si>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</si>
  <si>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</si>
  <si>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</si>
  <si>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</si>
  <si>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</si>
  <si>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</si>
  <si>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</si>
  <si>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</si>
  <si>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</si>
  <si>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</si>
  <si>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</si>
  <si>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</si>
  <si>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</si>
  <si>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</si>
  <si>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</si>
  <si>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</si>
  <si>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</si>
  <si>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</si>
  <si>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</si>
  <si>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</si>
  <si>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</si>
  <si>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</si>
  <si>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</si>
  <si>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</si>
  <si>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</si>
  <si>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</si>
  <si>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</si>
  <si>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</si>
  <si>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</si>
  <si>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</si>
  <si>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</si>
  <si>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ELIZABETE SIMONE PASCOAL DA ROCHA</t>
  </si>
  <si>
    <t>COORDENADOR DE CONTROLE INTERNO</t>
  </si>
  <si>
    <t>REMUNERAÇÃO REFERENTE À FOLHA DE PAGAMENTO DE NOVEMBRO/2025 -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</si>
</sst>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7" fillId="0" borderId="0" xfId="0" applyFont="1"/>
    <xf numFmtId="43" fontId="9" fillId="0" borderId="0" xfId="1" applyFo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3" fontId="4" fillId="0" borderId="10" xfId="1" applyFont="1" applyBorder="1"/>
    <xf numFmtId="43" fontId="4" fillId="0" borderId="2" xfId="1" applyFont="1" applyBorder="1"/>
    <xf numFmtId="43" fontId="5" fillId="0" borderId="9" xfId="1" applyFont="1" applyBorder="1"/>
    <xf numFmtId="0" fontId="0" fillId="0" borderId="4" xfId="0" applyBorder="1"/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8" xfId="1" applyFont="1" applyBorder="1" applyAlignment="1">
      <alignment horizontal="left"/>
    </xf>
    <xf numFmtId="43" fontId="4" fillId="0" borderId="8" xfId="1" applyFont="1" applyBorder="1"/>
    <xf numFmtId="43" fontId="4" fillId="0" borderId="8" xfId="1" applyFont="1" applyBorder="1" applyAlignment="1">
      <alignment horizontal="right"/>
    </xf>
    <xf numFmtId="43" fontId="8" fillId="0" borderId="6" xfId="1" applyFont="1" applyBorder="1"/>
  </cellXfs>
  <cellStyles count="4">
    <cellStyle name="Normal" xfId="0" builtinId="0"/>
    <cellStyle name="Vírgula" xfId="1" builtinId="3"/>
    <cellStyle name="Vírgula 2" xfId="2" xr:uid="{B272E439-B7CB-407E-AF36-8BE3FEEBE44B}"/>
    <cellStyle name="Vírgula 3" xfId="3" xr:uid="{D8008A05-F8ED-43ED-A540-CEFA26A257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92"/>
  <sheetViews>
    <sheetView tabSelected="1" topLeftCell="A52" workbookViewId="0">
      <selection activeCell="D69" sqref="D69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2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31" t="s">
        <v>106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3"/>
    </row>
    <row r="8" spans="1:18" x14ac:dyDescent="0.25">
      <c r="A8" s="3"/>
      <c r="B8" s="3"/>
      <c r="C8" s="3"/>
      <c r="D8" s="3"/>
      <c r="E8" s="3"/>
      <c r="F8" s="3"/>
      <c r="G8" s="130" t="s">
        <v>39</v>
      </c>
      <c r="H8" s="130"/>
      <c r="I8" s="3" t="s">
        <v>77</v>
      </c>
      <c r="J8" s="130" t="s">
        <v>41</v>
      </c>
      <c r="K8" s="130"/>
      <c r="L8" s="130" t="s">
        <v>42</v>
      </c>
      <c r="M8" s="130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0" t="s">
        <v>4</v>
      </c>
      <c r="B10" s="13" t="s">
        <v>61</v>
      </c>
      <c r="C10" s="13" t="s">
        <v>48</v>
      </c>
      <c r="D10" s="13" t="s">
        <v>79</v>
      </c>
      <c r="E10" s="14">
        <v>41218</v>
      </c>
      <c r="F10" s="15">
        <v>3942.18</v>
      </c>
      <c r="G10" s="15">
        <v>3942.18</v>
      </c>
      <c r="H10" s="15">
        <f>236.53+197.11+315.37+3913.16</f>
        <v>4662.17</v>
      </c>
      <c r="I10" s="15"/>
      <c r="J10" s="15"/>
      <c r="K10" s="16"/>
      <c r="L10" s="16">
        <f>951.62</f>
        <v>951.62</v>
      </c>
      <c r="M10" s="16">
        <f>1195.77</f>
        <v>1195.77</v>
      </c>
      <c r="N10" s="17">
        <f>1+98.55</f>
        <v>99.55</v>
      </c>
      <c r="O10" s="16">
        <f>G10+H10+I10+J10+K10-L10-M10-N10</f>
        <v>6357.4100000000008</v>
      </c>
      <c r="P10" s="18">
        <f>992.53+174</f>
        <v>1166.53</v>
      </c>
      <c r="Q10" s="17">
        <f>1298.34+871+39.42</f>
        <v>2208.7600000000002</v>
      </c>
      <c r="R10" s="19">
        <f>O10+P10-Q10</f>
        <v>5315.18</v>
      </c>
    </row>
    <row r="11" spans="1:18" s="8" customFormat="1" x14ac:dyDescent="0.25">
      <c r="A11" s="20"/>
      <c r="B11" s="20"/>
      <c r="C11" s="20"/>
      <c r="D11" s="20" t="s">
        <v>72</v>
      </c>
      <c r="E11" s="21"/>
      <c r="F11" s="22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</row>
    <row r="12" spans="1:18" s="8" customFormat="1" x14ac:dyDescent="0.25">
      <c r="A12" s="115" t="s">
        <v>102</v>
      </c>
      <c r="B12" s="13" t="s">
        <v>61</v>
      </c>
      <c r="C12" s="13" t="s">
        <v>56</v>
      </c>
      <c r="D12" s="13" t="s">
        <v>83</v>
      </c>
      <c r="E12" s="112">
        <v>45779</v>
      </c>
      <c r="F12" s="77">
        <v>7826.33</v>
      </c>
      <c r="G12" s="77">
        <v>7826.33</v>
      </c>
      <c r="H12" s="77"/>
      <c r="I12" s="113"/>
      <c r="J12" s="77"/>
      <c r="K12" s="37"/>
      <c r="L12" s="37">
        <f>905.27</f>
        <v>905.27</v>
      </c>
      <c r="M12" s="37">
        <f>942.42</f>
        <v>942.42</v>
      </c>
      <c r="N12" s="111">
        <f>1+66.16</f>
        <v>67.16</v>
      </c>
      <c r="O12" s="16">
        <f t="shared" ref="O12:O64" si="0">G12+H12+I12+J12+K12-L12-M12-N12</f>
        <v>5911.48</v>
      </c>
      <c r="P12" s="114">
        <f>992.53</f>
        <v>992.53</v>
      </c>
      <c r="Q12" s="111">
        <f>402.63+109.96</f>
        <v>512.59</v>
      </c>
      <c r="R12" s="19">
        <f>O12+P12-Q12</f>
        <v>6391.4199999999992</v>
      </c>
    </row>
    <row r="13" spans="1:18" s="8" customFormat="1" x14ac:dyDescent="0.25">
      <c r="A13" s="24"/>
      <c r="B13" s="24"/>
      <c r="C13" s="24"/>
      <c r="D13" s="20" t="s">
        <v>73</v>
      </c>
      <c r="E13" s="112"/>
      <c r="F13" s="77"/>
      <c r="G13" s="77"/>
      <c r="H13" s="77"/>
      <c r="I13" s="113"/>
      <c r="J13" s="77"/>
      <c r="K13" s="37"/>
      <c r="L13" s="37"/>
      <c r="M13" s="37"/>
      <c r="N13" s="111"/>
      <c r="O13" s="16">
        <f t="shared" si="0"/>
        <v>0</v>
      </c>
      <c r="P13" s="114"/>
      <c r="Q13" s="111"/>
      <c r="R13" s="37"/>
    </row>
    <row r="14" spans="1:18" x14ac:dyDescent="0.25">
      <c r="A14" s="100" t="s">
        <v>95</v>
      </c>
      <c r="B14" s="13" t="s">
        <v>61</v>
      </c>
      <c r="C14" s="13" t="s">
        <v>97</v>
      </c>
      <c r="D14" s="13" t="s">
        <v>96</v>
      </c>
      <c r="E14" s="14">
        <v>45551</v>
      </c>
      <c r="F14" s="26">
        <v>2465.3000000000002</v>
      </c>
      <c r="G14" s="27">
        <v>2383.12</v>
      </c>
      <c r="H14" s="27"/>
      <c r="I14" s="28"/>
      <c r="J14" s="27"/>
      <c r="K14" s="19"/>
      <c r="L14" s="19">
        <v>192.85</v>
      </c>
      <c r="M14" s="19">
        <v>0</v>
      </c>
      <c r="N14" s="29">
        <f>1+59.58</f>
        <v>60.58</v>
      </c>
      <c r="O14" s="16">
        <f t="shared" si="0"/>
        <v>2129.69</v>
      </c>
      <c r="P14" s="30">
        <f>992.53+147</f>
        <v>1139.53</v>
      </c>
      <c r="Q14" s="29">
        <f>159.53+79.42</f>
        <v>238.95</v>
      </c>
      <c r="R14" s="19">
        <f t="shared" ref="R14:R62" si="1">O14+P14-Q14</f>
        <v>3030.2700000000004</v>
      </c>
    </row>
    <row r="15" spans="1:18" x14ac:dyDescent="0.25">
      <c r="A15" s="101"/>
      <c r="B15" s="20"/>
      <c r="C15" s="20"/>
      <c r="D15" s="31" t="s">
        <v>73</v>
      </c>
      <c r="E15" s="21"/>
      <c r="F15" s="32"/>
      <c r="G15" s="33"/>
      <c r="H15" s="33"/>
      <c r="I15" s="28"/>
      <c r="J15" s="33"/>
      <c r="K15" s="34"/>
      <c r="L15" s="34"/>
      <c r="M15" s="34"/>
      <c r="N15" s="35"/>
      <c r="O15" s="16">
        <f t="shared" si="0"/>
        <v>0</v>
      </c>
      <c r="P15" s="36"/>
      <c r="Q15" s="35"/>
      <c r="R15" s="34">
        <f t="shared" si="1"/>
        <v>0</v>
      </c>
    </row>
    <row r="16" spans="1:18" x14ac:dyDescent="0.25">
      <c r="A16" s="101" t="s">
        <v>5</v>
      </c>
      <c r="B16" s="20" t="s">
        <v>63</v>
      </c>
      <c r="C16" s="20" t="s">
        <v>49</v>
      </c>
      <c r="D16" s="45" t="s">
        <v>49</v>
      </c>
      <c r="E16" s="21">
        <v>41445</v>
      </c>
      <c r="F16" s="32">
        <v>2950.73</v>
      </c>
      <c r="G16" s="33">
        <v>2950.73</v>
      </c>
      <c r="H16" s="33"/>
      <c r="I16" s="33"/>
      <c r="J16" s="33"/>
      <c r="K16" s="34"/>
      <c r="L16" s="34">
        <v>247.49</v>
      </c>
      <c r="M16" s="34">
        <v>0</v>
      </c>
      <c r="N16" s="34">
        <f>1+73.77</f>
        <v>74.77</v>
      </c>
      <c r="O16" s="16">
        <f t="shared" si="0"/>
        <v>2628.47</v>
      </c>
      <c r="P16" s="34">
        <f>992.53+166.6</f>
        <v>1159.1299999999999</v>
      </c>
      <c r="Q16" s="34">
        <f>29.51</f>
        <v>29.51</v>
      </c>
      <c r="R16" s="25">
        <f t="shared" si="1"/>
        <v>3758.0899999999992</v>
      </c>
    </row>
    <row r="17" spans="1:18" x14ac:dyDescent="0.25">
      <c r="A17" s="102" t="s">
        <v>6</v>
      </c>
      <c r="B17" s="13" t="s">
        <v>61</v>
      </c>
      <c r="C17" s="64" t="s">
        <v>51</v>
      </c>
      <c r="D17" s="13" t="s">
        <v>51</v>
      </c>
      <c r="E17" s="74">
        <v>36087</v>
      </c>
      <c r="F17" s="38">
        <v>3767.24</v>
      </c>
      <c r="G17" s="38">
        <f>3767.24+80.47</f>
        <v>3847.7099999999996</v>
      </c>
      <c r="H17" s="126"/>
      <c r="I17" s="15"/>
      <c r="J17" s="126"/>
      <c r="K17" s="124"/>
      <c r="L17" s="18">
        <v>355.12</v>
      </c>
      <c r="M17" s="18">
        <v>91.92</v>
      </c>
      <c r="N17" s="39">
        <f>1</f>
        <v>1</v>
      </c>
      <c r="O17" s="16">
        <f t="shared" si="0"/>
        <v>3399.6699999999996</v>
      </c>
      <c r="P17" s="30">
        <f>992.53</f>
        <v>992.53</v>
      </c>
      <c r="Q17" s="29">
        <v>37.67</v>
      </c>
      <c r="R17" s="19">
        <f t="shared" si="1"/>
        <v>4354.53</v>
      </c>
    </row>
    <row r="18" spans="1:18" x14ac:dyDescent="0.25">
      <c r="A18" s="40"/>
      <c r="B18" s="40"/>
      <c r="C18" s="89"/>
      <c r="D18" s="20"/>
      <c r="E18" s="90"/>
      <c r="F18" s="42"/>
      <c r="G18" s="42"/>
      <c r="H18" s="127"/>
      <c r="I18" s="22"/>
      <c r="J18" s="127"/>
      <c r="K18" s="125"/>
      <c r="L18" s="43"/>
      <c r="M18" s="43"/>
      <c r="N18" s="44"/>
      <c r="O18" s="16">
        <f t="shared" si="0"/>
        <v>0</v>
      </c>
      <c r="P18" s="36"/>
      <c r="Q18" s="35"/>
      <c r="R18" s="34">
        <f t="shared" si="1"/>
        <v>0</v>
      </c>
    </row>
    <row r="19" spans="1:18" x14ac:dyDescent="0.25">
      <c r="A19" s="103" t="s">
        <v>7</v>
      </c>
      <c r="B19" s="45" t="s">
        <v>61</v>
      </c>
      <c r="C19" s="45" t="s">
        <v>52</v>
      </c>
      <c r="D19" s="20" t="s">
        <v>52</v>
      </c>
      <c r="E19" s="46">
        <v>41218</v>
      </c>
      <c r="F19" s="47">
        <v>2102.4</v>
      </c>
      <c r="G19" s="48">
        <v>2102.4</v>
      </c>
      <c r="H19" s="48">
        <f>105.12+168.19</f>
        <v>273.31</v>
      </c>
      <c r="I19" s="48">
        <v>0</v>
      </c>
      <c r="J19" s="48"/>
      <c r="K19" s="49"/>
      <c r="L19" s="49">
        <f>191.04</f>
        <v>191.04</v>
      </c>
      <c r="M19" s="49"/>
      <c r="N19" s="49">
        <f>1+21.02</f>
        <v>22.02</v>
      </c>
      <c r="O19" s="16">
        <f t="shared" si="0"/>
        <v>2162.65</v>
      </c>
      <c r="P19" s="49">
        <f>992.53+215.6</f>
        <v>1208.1299999999999</v>
      </c>
      <c r="Q19" s="49">
        <f>332.54+21.02</f>
        <v>353.56</v>
      </c>
      <c r="R19" s="25">
        <f t="shared" si="1"/>
        <v>3017.22</v>
      </c>
    </row>
    <row r="20" spans="1:18" x14ac:dyDescent="0.25">
      <c r="A20" s="100" t="s">
        <v>8</v>
      </c>
      <c r="B20" s="13" t="s">
        <v>61</v>
      </c>
      <c r="C20" s="13" t="s">
        <v>52</v>
      </c>
      <c r="D20" s="13" t="s">
        <v>52</v>
      </c>
      <c r="E20" s="14">
        <v>41548</v>
      </c>
      <c r="F20" s="26">
        <v>2102.4</v>
      </c>
      <c r="G20" s="27">
        <v>2102.4</v>
      </c>
      <c r="H20" s="27">
        <f>105.12+168.19+1336.85</f>
        <v>1610.1599999999999</v>
      </c>
      <c r="I20" s="27">
        <v>0</v>
      </c>
      <c r="J20" s="27"/>
      <c r="K20" s="19"/>
      <c r="L20" s="19">
        <f>338.91</f>
        <v>338.91</v>
      </c>
      <c r="M20" s="19">
        <v>71.64</v>
      </c>
      <c r="N20" s="19">
        <f>1+52.56</f>
        <v>53.56</v>
      </c>
      <c r="O20" s="16">
        <f t="shared" si="0"/>
        <v>3248.4500000000003</v>
      </c>
      <c r="P20" s="19">
        <f>992.53+156.8</f>
        <v>1149.33</v>
      </c>
      <c r="Q20" s="19">
        <f>21.02</f>
        <v>21.02</v>
      </c>
      <c r="R20" s="19">
        <f t="shared" si="1"/>
        <v>4376.76</v>
      </c>
    </row>
    <row r="21" spans="1:18" x14ac:dyDescent="0.25">
      <c r="A21" s="118" t="s">
        <v>104</v>
      </c>
      <c r="B21" s="13" t="s">
        <v>61</v>
      </c>
      <c r="C21" s="13" t="s">
        <v>57</v>
      </c>
      <c r="D21" s="13" t="s">
        <v>105</v>
      </c>
      <c r="E21" s="14">
        <v>45937</v>
      </c>
      <c r="F21" s="26">
        <v>4108.83</v>
      </c>
      <c r="G21" s="27">
        <v>4108.83</v>
      </c>
      <c r="H21" s="27"/>
      <c r="I21" s="52"/>
      <c r="J21" s="120"/>
      <c r="K21" s="19"/>
      <c r="L21" s="19">
        <v>386.46</v>
      </c>
      <c r="M21" s="19">
        <v>131.08000000000001</v>
      </c>
      <c r="N21" s="19">
        <f>1+102.72</f>
        <v>103.72</v>
      </c>
      <c r="O21" s="16">
        <f t="shared" si="0"/>
        <v>3487.57</v>
      </c>
      <c r="P21" s="19">
        <f>992.53+352</f>
        <v>1344.53</v>
      </c>
      <c r="Q21" s="19">
        <v>0</v>
      </c>
      <c r="R21" s="30">
        <f t="shared" si="1"/>
        <v>4832.1000000000004</v>
      </c>
    </row>
    <row r="22" spans="1:18" x14ac:dyDescent="0.25">
      <c r="A22" s="119"/>
      <c r="B22" s="20"/>
      <c r="C22" s="20"/>
      <c r="D22" s="20" t="s">
        <v>73</v>
      </c>
      <c r="E22" s="21"/>
      <c r="F22" s="32"/>
      <c r="G22" s="33"/>
      <c r="H22" s="33"/>
      <c r="I22" s="55"/>
      <c r="J22" s="121"/>
      <c r="K22" s="34"/>
      <c r="L22" s="34"/>
      <c r="M22" s="34"/>
      <c r="N22" s="34"/>
      <c r="O22" s="23"/>
      <c r="P22" s="34"/>
      <c r="Q22" s="34"/>
      <c r="R22" s="36"/>
    </row>
    <row r="23" spans="1:18" x14ac:dyDescent="0.25">
      <c r="A23" s="115" t="s">
        <v>9</v>
      </c>
      <c r="B23" s="24" t="s">
        <v>61</v>
      </c>
      <c r="C23" s="24" t="s">
        <v>53</v>
      </c>
      <c r="D23" s="24" t="s">
        <v>53</v>
      </c>
      <c r="E23" s="112">
        <v>37865</v>
      </c>
      <c r="F23" s="138">
        <v>6897.88</v>
      </c>
      <c r="G23" s="139">
        <v>6897.88</v>
      </c>
      <c r="H23" s="139">
        <f>344.89+551.83</f>
        <v>896.72</v>
      </c>
      <c r="I23" s="139"/>
      <c r="J23" s="140"/>
      <c r="K23" s="25"/>
      <c r="L23" s="25">
        <v>900.82</v>
      </c>
      <c r="M23" s="25">
        <v>987.06</v>
      </c>
      <c r="N23" s="25">
        <f>1+172.45</f>
        <v>173.45</v>
      </c>
      <c r="O23" s="37">
        <f t="shared" si="0"/>
        <v>5733.2700000000013</v>
      </c>
      <c r="P23" s="25">
        <f>992.53+342.4</f>
        <v>1334.9299999999998</v>
      </c>
      <c r="Q23" s="25">
        <f>68.98</f>
        <v>68.98</v>
      </c>
      <c r="R23" s="25">
        <f t="shared" si="1"/>
        <v>6999.2200000000012</v>
      </c>
    </row>
    <row r="24" spans="1:18" x14ac:dyDescent="0.25">
      <c r="A24" s="100" t="s">
        <v>10</v>
      </c>
      <c r="B24" s="13" t="s">
        <v>61</v>
      </c>
      <c r="C24" s="13" t="s">
        <v>49</v>
      </c>
      <c r="D24" s="13" t="s">
        <v>91</v>
      </c>
      <c r="E24" s="14">
        <v>41218</v>
      </c>
      <c r="F24" s="26">
        <v>7826.33</v>
      </c>
      <c r="G24" s="27">
        <v>7826.33</v>
      </c>
      <c r="H24" s="27">
        <f>147.54</f>
        <v>147.54</v>
      </c>
      <c r="I24" s="28"/>
      <c r="J24" s="27"/>
      <c r="K24" s="19"/>
      <c r="L24" s="19">
        <v>925.92</v>
      </c>
      <c r="M24" s="19">
        <v>977.32</v>
      </c>
      <c r="N24" s="19">
        <f>1+195.66</f>
        <v>196.66</v>
      </c>
      <c r="O24" s="16">
        <f t="shared" si="0"/>
        <v>5873.97</v>
      </c>
      <c r="P24" s="19">
        <f>992.53+313.6</f>
        <v>1306.1300000000001</v>
      </c>
      <c r="Q24" s="19">
        <f>599+121.28+118+256.45+86.49+78.26</f>
        <v>1259.48</v>
      </c>
      <c r="R24" s="19">
        <f t="shared" si="1"/>
        <v>5920.6200000000008</v>
      </c>
    </row>
    <row r="25" spans="1:18" x14ac:dyDescent="0.25">
      <c r="A25" s="101"/>
      <c r="B25" s="20"/>
      <c r="C25" s="20"/>
      <c r="D25" s="20" t="s">
        <v>72</v>
      </c>
      <c r="E25" s="21"/>
      <c r="F25" s="32"/>
      <c r="G25" s="33"/>
      <c r="H25" s="33"/>
      <c r="I25" s="28"/>
      <c r="J25" s="33"/>
      <c r="K25" s="34"/>
      <c r="L25" s="34"/>
      <c r="M25" s="34"/>
      <c r="N25" s="34"/>
      <c r="O25" s="23"/>
      <c r="P25" s="34"/>
      <c r="Q25" s="34"/>
      <c r="R25" s="34"/>
    </row>
    <row r="26" spans="1:18" x14ac:dyDescent="0.25">
      <c r="A26" s="101" t="s">
        <v>11</v>
      </c>
      <c r="B26" s="20" t="s">
        <v>64</v>
      </c>
      <c r="C26" s="20" t="s">
        <v>50</v>
      </c>
      <c r="D26" s="20" t="s">
        <v>50</v>
      </c>
      <c r="E26" s="21">
        <v>38908</v>
      </c>
      <c r="F26" s="32">
        <v>7221.29</v>
      </c>
      <c r="G26" s="33">
        <v>7221.29</v>
      </c>
      <c r="H26" s="33">
        <f>361.06+577.7</f>
        <v>938.76</v>
      </c>
      <c r="I26" s="33"/>
      <c r="J26" s="33">
        <v>0</v>
      </c>
      <c r="K26" s="34"/>
      <c r="L26" s="34">
        <f>951.62</f>
        <v>951.62</v>
      </c>
      <c r="M26" s="34">
        <f>1021.45</f>
        <v>1021.45</v>
      </c>
      <c r="N26" s="141">
        <f>1</f>
        <v>1</v>
      </c>
      <c r="O26" s="37">
        <f t="shared" si="0"/>
        <v>6185.9800000000005</v>
      </c>
      <c r="P26" s="34">
        <f>992.53</f>
        <v>992.53</v>
      </c>
      <c r="Q26" s="34">
        <f>295.12+291.97+460.21+54.98+72.21</f>
        <v>1174.49</v>
      </c>
      <c r="R26" s="25">
        <f t="shared" si="1"/>
        <v>6004.02</v>
      </c>
    </row>
    <row r="27" spans="1:18" x14ac:dyDescent="0.25">
      <c r="A27" s="100" t="s">
        <v>12</v>
      </c>
      <c r="B27" s="13" t="s">
        <v>61</v>
      </c>
      <c r="C27" s="13" t="s">
        <v>49</v>
      </c>
      <c r="D27" s="45" t="s">
        <v>88</v>
      </c>
      <c r="E27" s="14">
        <v>35916</v>
      </c>
      <c r="F27" s="26">
        <v>3965.54</v>
      </c>
      <c r="G27" s="27">
        <v>3965.54</v>
      </c>
      <c r="H27" s="27">
        <f>237.93+198.28+317.24+846.67</f>
        <v>1600.12</v>
      </c>
      <c r="I27" s="27"/>
      <c r="J27" s="27"/>
      <c r="K27" s="19"/>
      <c r="L27" s="19">
        <f>588.77</f>
        <v>588.77</v>
      </c>
      <c r="M27" s="19">
        <v>358.99</v>
      </c>
      <c r="N27" s="19">
        <f>1+99.14</f>
        <v>100.14</v>
      </c>
      <c r="O27" s="16">
        <f t="shared" si="0"/>
        <v>4517.7599999999993</v>
      </c>
      <c r="P27" s="19">
        <f>992.53+147</f>
        <v>1139.53</v>
      </c>
      <c r="Q27" s="19">
        <f>798.95+1187.02+205.06+39.66</f>
        <v>2230.69</v>
      </c>
      <c r="R27" s="19">
        <f t="shared" si="1"/>
        <v>3426.599999999999</v>
      </c>
    </row>
    <row r="28" spans="1:18" x14ac:dyDescent="0.25">
      <c r="A28" s="100" t="s">
        <v>13</v>
      </c>
      <c r="B28" s="13" t="s">
        <v>61</v>
      </c>
      <c r="C28" s="13" t="s">
        <v>54</v>
      </c>
      <c r="D28" s="50" t="s">
        <v>81</v>
      </c>
      <c r="E28" s="14">
        <v>41737</v>
      </c>
      <c r="F28" s="26">
        <v>8305.52</v>
      </c>
      <c r="G28" s="27">
        <v>8305.52</v>
      </c>
      <c r="H28" s="51">
        <f>415.28+830.55+4108.82</f>
        <v>5354.65</v>
      </c>
      <c r="I28" s="52"/>
      <c r="J28" s="27"/>
      <c r="K28" s="19"/>
      <c r="L28" s="19">
        <v>951.62</v>
      </c>
      <c r="M28" s="19">
        <v>2481.85</v>
      </c>
      <c r="N28" s="29">
        <f>1</f>
        <v>1</v>
      </c>
      <c r="O28" s="16">
        <f t="shared" si="0"/>
        <v>10225.699999999999</v>
      </c>
      <c r="P28" s="30">
        <f>992.53</f>
        <v>992.53</v>
      </c>
      <c r="Q28" s="29">
        <v>2893.54</v>
      </c>
      <c r="R28" s="19">
        <f t="shared" si="1"/>
        <v>8324.6899999999987</v>
      </c>
    </row>
    <row r="29" spans="1:18" x14ac:dyDescent="0.25">
      <c r="A29" s="101"/>
      <c r="B29" s="20"/>
      <c r="C29" s="20"/>
      <c r="D29" s="53" t="s">
        <v>72</v>
      </c>
      <c r="E29" s="21"/>
      <c r="F29" s="32"/>
      <c r="G29" s="33"/>
      <c r="H29" s="54"/>
      <c r="I29" s="55"/>
      <c r="J29" s="33"/>
      <c r="K29" s="34"/>
      <c r="L29" s="34"/>
      <c r="M29" s="34"/>
      <c r="N29" s="35"/>
      <c r="O29" s="16">
        <f t="shared" si="0"/>
        <v>0</v>
      </c>
      <c r="P29" s="36"/>
      <c r="Q29" s="35"/>
      <c r="R29" s="34">
        <f t="shared" si="1"/>
        <v>0</v>
      </c>
    </row>
    <row r="30" spans="1:18" x14ac:dyDescent="0.25">
      <c r="A30" s="104" t="s">
        <v>14</v>
      </c>
      <c r="B30" s="20" t="s">
        <v>61</v>
      </c>
      <c r="C30" s="56" t="s">
        <v>55</v>
      </c>
      <c r="D30" s="56" t="s">
        <v>82</v>
      </c>
      <c r="E30" s="57">
        <v>42559</v>
      </c>
      <c r="F30" s="58">
        <v>5160.6899999999996</v>
      </c>
      <c r="G30" s="59">
        <v>5160.6899999999996</v>
      </c>
      <c r="H30" s="59">
        <v>1336.85</v>
      </c>
      <c r="I30" s="59"/>
      <c r="J30" s="59"/>
      <c r="K30" s="34"/>
      <c r="L30" s="34">
        <v>719.23</v>
      </c>
      <c r="M30" s="34">
        <v>628.16999999999996</v>
      </c>
      <c r="N30" s="34">
        <f>1+129.02</f>
        <v>130.02000000000001</v>
      </c>
      <c r="O30" s="16">
        <f t="shared" si="0"/>
        <v>5020.119999999999</v>
      </c>
      <c r="P30" s="34">
        <f>992.53+227.2</f>
        <v>1219.73</v>
      </c>
      <c r="Q30" s="34">
        <f>822+942.81+130.87+51.61</f>
        <v>1947.2899999999997</v>
      </c>
      <c r="R30" s="49">
        <f t="shared" si="1"/>
        <v>4292.5599999999986</v>
      </c>
    </row>
    <row r="31" spans="1:18" x14ac:dyDescent="0.25">
      <c r="A31" s="102" t="s">
        <v>15</v>
      </c>
      <c r="B31" s="13" t="s">
        <v>61</v>
      </c>
      <c r="C31" s="13" t="s">
        <v>56</v>
      </c>
      <c r="D31" s="13" t="s">
        <v>56</v>
      </c>
      <c r="E31" s="14">
        <v>36951</v>
      </c>
      <c r="F31" s="38">
        <v>4993.83</v>
      </c>
      <c r="G31" s="38">
        <v>4993.83</v>
      </c>
      <c r="H31" s="38">
        <v>299.63</v>
      </c>
      <c r="I31" s="38"/>
      <c r="J31" s="27">
        <v>3528.97</v>
      </c>
      <c r="K31" s="124"/>
      <c r="L31" s="18">
        <f>550.66+316.88</f>
        <v>867.54</v>
      </c>
      <c r="M31" s="18">
        <f>379.99+44.11</f>
        <v>424.1</v>
      </c>
      <c r="N31" s="19">
        <v>0</v>
      </c>
      <c r="O31" s="16">
        <f t="shared" si="0"/>
        <v>7530.79</v>
      </c>
      <c r="P31" s="60"/>
      <c r="Q31" s="29">
        <f>538.56+1086.43+49.94+538.56+724.29</f>
        <v>2937.7799999999997</v>
      </c>
      <c r="R31" s="25">
        <f t="shared" si="1"/>
        <v>4593.01</v>
      </c>
    </row>
    <row r="32" spans="1:18" x14ac:dyDescent="0.25">
      <c r="A32" s="40"/>
      <c r="B32" s="40"/>
      <c r="C32" s="40"/>
      <c r="D32" s="20"/>
      <c r="E32" s="41"/>
      <c r="F32" s="42"/>
      <c r="G32" s="42"/>
      <c r="H32" s="42"/>
      <c r="I32" s="42"/>
      <c r="J32" s="33"/>
      <c r="K32" s="125"/>
      <c r="L32" s="43"/>
      <c r="M32" s="43"/>
      <c r="N32" s="34"/>
      <c r="O32" s="37">
        <f t="shared" si="0"/>
        <v>0</v>
      </c>
      <c r="P32" s="43"/>
      <c r="Q32" s="35"/>
      <c r="R32" s="34"/>
    </row>
    <row r="33" spans="1:18" x14ac:dyDescent="0.25">
      <c r="A33" s="101" t="s">
        <v>16</v>
      </c>
      <c r="B33" s="20" t="s">
        <v>64</v>
      </c>
      <c r="C33" s="20" t="s">
        <v>49</v>
      </c>
      <c r="D33" s="20" t="s">
        <v>49</v>
      </c>
      <c r="E33" s="21">
        <v>35827</v>
      </c>
      <c r="F33" s="32">
        <v>3965.54</v>
      </c>
      <c r="G33" s="33">
        <v>3965.54</v>
      </c>
      <c r="H33" s="33"/>
      <c r="I33" s="33"/>
      <c r="J33" s="33">
        <v>3765.23</v>
      </c>
      <c r="K33" s="34"/>
      <c r="L33" s="34">
        <f>369.26+345.23</f>
        <v>714.49</v>
      </c>
      <c r="M33" s="34">
        <f>109.59+79.54</f>
        <v>189.13</v>
      </c>
      <c r="N33" s="34">
        <f>1</f>
        <v>1</v>
      </c>
      <c r="O33" s="16">
        <f t="shared" si="0"/>
        <v>6826.1500000000005</v>
      </c>
      <c r="P33" s="34">
        <f>992.53</f>
        <v>992.53</v>
      </c>
      <c r="Q33" s="34">
        <f>656.5+39.66+656.5</f>
        <v>1352.6599999999999</v>
      </c>
      <c r="R33" s="25">
        <f t="shared" si="1"/>
        <v>6466.02</v>
      </c>
    </row>
    <row r="34" spans="1:18" x14ac:dyDescent="0.25">
      <c r="A34" s="103" t="s">
        <v>17</v>
      </c>
      <c r="B34" s="45" t="s">
        <v>61</v>
      </c>
      <c r="C34" s="45" t="s">
        <v>51</v>
      </c>
      <c r="D34" s="45" t="s">
        <v>51</v>
      </c>
      <c r="E34" s="46">
        <v>38831</v>
      </c>
      <c r="F34" s="47">
        <v>3249.65</v>
      </c>
      <c r="G34" s="48">
        <v>3249.65</v>
      </c>
      <c r="H34" s="48"/>
      <c r="I34" s="48"/>
      <c r="J34" s="48"/>
      <c r="K34" s="49"/>
      <c r="L34" s="49">
        <v>283.36</v>
      </c>
      <c r="M34" s="49">
        <v>16.02</v>
      </c>
      <c r="N34" s="49">
        <f>1+81.24</f>
        <v>82.24</v>
      </c>
      <c r="O34" s="16">
        <f t="shared" si="0"/>
        <v>2868.03</v>
      </c>
      <c r="P34" s="49">
        <f>992.53+156.8</f>
        <v>1149.33</v>
      </c>
      <c r="Q34" s="49">
        <f>701.52+32.5</f>
        <v>734.02</v>
      </c>
      <c r="R34" s="19">
        <f t="shared" si="1"/>
        <v>3283.34</v>
      </c>
    </row>
    <row r="35" spans="1:18" x14ac:dyDescent="0.25">
      <c r="A35" s="100" t="s">
        <v>18</v>
      </c>
      <c r="B35" s="13" t="s">
        <v>61</v>
      </c>
      <c r="C35" s="13" t="s">
        <v>54</v>
      </c>
      <c r="D35" s="13" t="s">
        <v>84</v>
      </c>
      <c r="E35" s="14">
        <v>41436</v>
      </c>
      <c r="F35" s="26">
        <v>6416.01</v>
      </c>
      <c r="G35" s="27">
        <v>6416.01</v>
      </c>
      <c r="H35" s="27">
        <f>320.8+513.28+2228.09</f>
        <v>3062.17</v>
      </c>
      <c r="I35" s="48"/>
      <c r="J35" s="27">
        <v>3159.39</v>
      </c>
      <c r="K35" s="19"/>
      <c r="L35" s="19">
        <f>951.62+272.53</f>
        <v>1224.1500000000001</v>
      </c>
      <c r="M35" s="19">
        <f>1331.8+5.92</f>
        <v>1337.72</v>
      </c>
      <c r="N35" s="19">
        <f>1+160.4</f>
        <v>161.4</v>
      </c>
      <c r="O35" s="16">
        <f t="shared" si="0"/>
        <v>9914.3000000000011</v>
      </c>
      <c r="P35" s="19">
        <f>992.53+592</f>
        <v>1584.53</v>
      </c>
      <c r="Q35" s="19">
        <f>416.14+801.83+64.16+267.28</f>
        <v>1549.41</v>
      </c>
      <c r="R35" s="19">
        <f t="shared" si="1"/>
        <v>9949.4200000000019</v>
      </c>
    </row>
    <row r="36" spans="1:18" x14ac:dyDescent="0.25">
      <c r="A36" s="105" t="s">
        <v>92</v>
      </c>
      <c r="B36" s="64" t="s">
        <v>61</v>
      </c>
      <c r="C36" s="64" t="s">
        <v>93</v>
      </c>
      <c r="D36" s="64" t="s">
        <v>94</v>
      </c>
      <c r="E36" s="65">
        <v>45512</v>
      </c>
      <c r="F36" s="66">
        <v>4108.83</v>
      </c>
      <c r="G36" s="51">
        <v>4108.83</v>
      </c>
      <c r="H36" s="27"/>
      <c r="I36" s="67"/>
      <c r="J36" s="51"/>
      <c r="K36" s="19"/>
      <c r="L36" s="19">
        <v>386.46</v>
      </c>
      <c r="M36" s="19">
        <v>131.08000000000001</v>
      </c>
      <c r="N36" s="29">
        <f>1+102.72</f>
        <v>103.72</v>
      </c>
      <c r="O36" s="16">
        <f t="shared" si="0"/>
        <v>3487.57</v>
      </c>
      <c r="P36" s="30">
        <f>992.53+117.6</f>
        <v>1110.1299999999999</v>
      </c>
      <c r="Q36" s="29">
        <f>596.77+36.65</f>
        <v>633.41999999999996</v>
      </c>
      <c r="R36" s="19">
        <f t="shared" si="1"/>
        <v>3964.2799999999997</v>
      </c>
    </row>
    <row r="37" spans="1:18" x14ac:dyDescent="0.25">
      <c r="A37" s="106"/>
      <c r="B37" s="31"/>
      <c r="C37" s="31"/>
      <c r="D37" s="31" t="s">
        <v>73</v>
      </c>
      <c r="E37" s="68"/>
      <c r="F37" s="69"/>
      <c r="G37" s="54"/>
      <c r="H37" s="33"/>
      <c r="I37" s="67"/>
      <c r="J37" s="54"/>
      <c r="K37" s="34"/>
      <c r="L37" s="34"/>
      <c r="M37" s="34"/>
      <c r="N37" s="35"/>
      <c r="O37" s="16">
        <f t="shared" si="0"/>
        <v>0</v>
      </c>
      <c r="P37" s="36"/>
      <c r="Q37" s="35"/>
      <c r="R37" s="34">
        <f t="shared" si="1"/>
        <v>0</v>
      </c>
    </row>
    <row r="38" spans="1:18" x14ac:dyDescent="0.25">
      <c r="A38" s="101" t="s">
        <v>19</v>
      </c>
      <c r="B38" s="20" t="s">
        <v>64</v>
      </c>
      <c r="C38" s="20" t="s">
        <v>50</v>
      </c>
      <c r="D38" s="20" t="s">
        <v>50</v>
      </c>
      <c r="E38" s="21">
        <v>41708</v>
      </c>
      <c r="F38" s="32">
        <v>8305.52</v>
      </c>
      <c r="G38" s="33">
        <v>8305.52</v>
      </c>
      <c r="H38" s="33">
        <v>664.44</v>
      </c>
      <c r="I38" s="48"/>
      <c r="J38" s="33"/>
      <c r="K38" s="34"/>
      <c r="L38" s="34">
        <v>951.62</v>
      </c>
      <c r="M38" s="34">
        <v>1192.04</v>
      </c>
      <c r="N38" s="34">
        <f>1+165.4</f>
        <v>166.4</v>
      </c>
      <c r="O38" s="16">
        <f t="shared" si="0"/>
        <v>6659.9000000000015</v>
      </c>
      <c r="P38" s="34">
        <f>992.53</f>
        <v>992.53</v>
      </c>
      <c r="Q38" s="34">
        <f>1523.06+407.79+83.06</f>
        <v>2013.9099999999999</v>
      </c>
      <c r="R38" s="25">
        <f t="shared" si="1"/>
        <v>5638.5200000000013</v>
      </c>
    </row>
    <row r="39" spans="1:18" x14ac:dyDescent="0.25">
      <c r="A39" s="107" t="s">
        <v>20</v>
      </c>
      <c r="B39" s="45" t="s">
        <v>61</v>
      </c>
      <c r="C39" s="70" t="s">
        <v>57</v>
      </c>
      <c r="D39" s="70" t="s">
        <v>57</v>
      </c>
      <c r="E39" s="71">
        <v>41830</v>
      </c>
      <c r="F39" s="72">
        <v>8305.52</v>
      </c>
      <c r="G39" s="73">
        <v>8305.52</v>
      </c>
      <c r="H39" s="73">
        <f>415.28+664.44</f>
        <v>1079.72</v>
      </c>
      <c r="I39" s="73"/>
      <c r="J39" s="73"/>
      <c r="K39" s="49"/>
      <c r="L39" s="49">
        <f>951.62</f>
        <v>951.62</v>
      </c>
      <c r="M39" s="49">
        <v>1254.0999999999999</v>
      </c>
      <c r="N39" s="49">
        <f>1</f>
        <v>1</v>
      </c>
      <c r="O39" s="16">
        <f t="shared" si="0"/>
        <v>7178.5199999999986</v>
      </c>
      <c r="P39" s="49">
        <f>992.53</f>
        <v>992.53</v>
      </c>
      <c r="Q39" s="49">
        <f>673.95+1647.13+295.97+83.06</f>
        <v>2700.11</v>
      </c>
      <c r="R39" s="19">
        <f t="shared" si="1"/>
        <v>5470.9399999999987</v>
      </c>
    </row>
    <row r="40" spans="1:18" x14ac:dyDescent="0.25">
      <c r="A40" s="103" t="s">
        <v>21</v>
      </c>
      <c r="B40" s="45" t="s">
        <v>63</v>
      </c>
      <c r="C40" s="45" t="s">
        <v>50</v>
      </c>
      <c r="D40" s="13" t="s">
        <v>50</v>
      </c>
      <c r="E40" s="46">
        <v>39022</v>
      </c>
      <c r="F40" s="47">
        <v>7221.29</v>
      </c>
      <c r="G40" s="48">
        <v>7221.29</v>
      </c>
      <c r="H40" s="48">
        <v>577.70000000000005</v>
      </c>
      <c r="I40" s="48"/>
      <c r="J40" s="48"/>
      <c r="K40" s="49"/>
      <c r="L40" s="49">
        <v>901.44</v>
      </c>
      <c r="M40" s="49">
        <v>883.82</v>
      </c>
      <c r="N40" s="49">
        <f>1+99.24</f>
        <v>100.24</v>
      </c>
      <c r="O40" s="16">
        <f t="shared" si="0"/>
        <v>5913.49</v>
      </c>
      <c r="P40" s="49">
        <f>992.53</f>
        <v>992.53</v>
      </c>
      <c r="Q40" s="49">
        <f>72.21</f>
        <v>72.209999999999994</v>
      </c>
      <c r="R40" s="19">
        <f t="shared" si="1"/>
        <v>6833.8099999999995</v>
      </c>
    </row>
    <row r="41" spans="1:18" x14ac:dyDescent="0.25">
      <c r="A41" s="102" t="s">
        <v>22</v>
      </c>
      <c r="B41" s="13" t="s">
        <v>61</v>
      </c>
      <c r="C41" s="64" t="s">
        <v>71</v>
      </c>
      <c r="D41" s="13" t="s">
        <v>85</v>
      </c>
      <c r="E41" s="74">
        <v>44565</v>
      </c>
      <c r="F41" s="38">
        <v>8217.64</v>
      </c>
      <c r="G41" s="38">
        <v>8217.64</v>
      </c>
      <c r="H41" s="126"/>
      <c r="I41" s="15"/>
      <c r="J41" s="126"/>
      <c r="K41" s="124"/>
      <c r="L41" s="18">
        <v>951.62</v>
      </c>
      <c r="M41" s="18">
        <v>1089.43</v>
      </c>
      <c r="N41" s="39">
        <f>1</f>
        <v>1</v>
      </c>
      <c r="O41" s="16">
        <f t="shared" si="0"/>
        <v>6175.5899999999992</v>
      </c>
      <c r="P41" s="30">
        <f>992.53</f>
        <v>992.53</v>
      </c>
      <c r="Q41" s="134"/>
      <c r="R41" s="19">
        <f t="shared" si="1"/>
        <v>7168.119999999999</v>
      </c>
    </row>
    <row r="42" spans="1:18" x14ac:dyDescent="0.25">
      <c r="A42" s="61"/>
      <c r="B42" s="61"/>
      <c r="C42" s="75"/>
      <c r="D42" s="24" t="s">
        <v>73</v>
      </c>
      <c r="E42" s="76"/>
      <c r="F42" s="62"/>
      <c r="G42" s="62"/>
      <c r="H42" s="136"/>
      <c r="I42" s="77"/>
      <c r="J42" s="136"/>
      <c r="K42" s="137"/>
      <c r="L42" s="63"/>
      <c r="M42" s="63"/>
      <c r="N42" s="78"/>
      <c r="O42" s="16">
        <f t="shared" si="0"/>
        <v>0</v>
      </c>
      <c r="P42" s="79"/>
      <c r="Q42" s="135"/>
      <c r="R42" s="25">
        <f t="shared" si="1"/>
        <v>0</v>
      </c>
    </row>
    <row r="43" spans="1:18" x14ac:dyDescent="0.25">
      <c r="A43" s="108" t="s">
        <v>78</v>
      </c>
      <c r="B43" s="13" t="s">
        <v>61</v>
      </c>
      <c r="C43" s="80" t="s">
        <v>57</v>
      </c>
      <c r="D43" s="50" t="s">
        <v>86</v>
      </c>
      <c r="E43" s="65">
        <v>45475</v>
      </c>
      <c r="F43" s="81">
        <v>8217.64</v>
      </c>
      <c r="G43" s="38">
        <v>6300.19</v>
      </c>
      <c r="H43" s="15"/>
      <c r="I43" s="82"/>
      <c r="J43" s="83"/>
      <c r="K43" s="16"/>
      <c r="L43" s="18">
        <v>801.82</v>
      </c>
      <c r="M43" s="18">
        <v>603.32000000000005</v>
      </c>
      <c r="N43" s="39">
        <f>1</f>
        <v>1</v>
      </c>
      <c r="O43" s="16">
        <f t="shared" si="0"/>
        <v>4894.05</v>
      </c>
      <c r="P43" s="30">
        <f>992.53</f>
        <v>992.53</v>
      </c>
      <c r="Q43" s="84"/>
      <c r="R43" s="19">
        <f t="shared" si="1"/>
        <v>5886.58</v>
      </c>
    </row>
    <row r="44" spans="1:18" x14ac:dyDescent="0.25">
      <c r="A44" s="109"/>
      <c r="B44" s="20"/>
      <c r="C44" s="56"/>
      <c r="D44" s="53" t="s">
        <v>73</v>
      </c>
      <c r="E44" s="68"/>
      <c r="F44" s="85"/>
      <c r="G44" s="42"/>
      <c r="H44" s="22"/>
      <c r="I44" s="86"/>
      <c r="J44" s="87"/>
      <c r="K44" s="23"/>
      <c r="L44" s="43"/>
      <c r="M44" s="43"/>
      <c r="N44" s="44"/>
      <c r="O44" s="16">
        <f t="shared" si="0"/>
        <v>0</v>
      </c>
      <c r="P44" s="36"/>
      <c r="Q44" s="88"/>
      <c r="R44" s="34">
        <f t="shared" si="1"/>
        <v>0</v>
      </c>
    </row>
    <row r="45" spans="1:18" x14ac:dyDescent="0.25">
      <c r="A45" s="101" t="s">
        <v>23</v>
      </c>
      <c r="B45" s="20" t="s">
        <v>61</v>
      </c>
      <c r="C45" s="56" t="s">
        <v>57</v>
      </c>
      <c r="D45" s="56" t="s">
        <v>57</v>
      </c>
      <c r="E45" s="21">
        <v>41730</v>
      </c>
      <c r="F45" s="32">
        <v>8305.52</v>
      </c>
      <c r="G45" s="33">
        <v>8305.52</v>
      </c>
      <c r="H45" s="33">
        <f>415.28+664.44</f>
        <v>1079.72</v>
      </c>
      <c r="I45" s="33"/>
      <c r="J45" s="33"/>
      <c r="K45" s="34"/>
      <c r="L45" s="34">
        <v>951.62</v>
      </c>
      <c r="M45" s="34">
        <v>1410.52</v>
      </c>
      <c r="N45" s="34">
        <f>1</f>
        <v>1</v>
      </c>
      <c r="O45" s="16">
        <f t="shared" si="0"/>
        <v>7022.0999999999985</v>
      </c>
      <c r="P45" s="34">
        <f>992.53</f>
        <v>992.53</v>
      </c>
      <c r="Q45" s="34">
        <f>1003.3</f>
        <v>1003.3</v>
      </c>
      <c r="R45" s="25">
        <f t="shared" si="1"/>
        <v>7011.3299999999981</v>
      </c>
    </row>
    <row r="46" spans="1:18" x14ac:dyDescent="0.25">
      <c r="A46" s="103" t="s">
        <v>24</v>
      </c>
      <c r="B46" s="45" t="s">
        <v>61</v>
      </c>
      <c r="C46" s="45" t="s">
        <v>49</v>
      </c>
      <c r="D46" s="45" t="s">
        <v>49</v>
      </c>
      <c r="E46" s="46">
        <v>41823</v>
      </c>
      <c r="F46" s="47">
        <v>2864.79</v>
      </c>
      <c r="G46" s="48">
        <v>2864.79</v>
      </c>
      <c r="H46" s="48">
        <f>143.24+229.18</f>
        <v>372.42</v>
      </c>
      <c r="I46" s="48"/>
      <c r="J46" s="48"/>
      <c r="K46" s="49"/>
      <c r="L46" s="49">
        <v>281.86</v>
      </c>
      <c r="M46" s="49">
        <v>15.09</v>
      </c>
      <c r="N46" s="49">
        <f>1+71.62</f>
        <v>72.62</v>
      </c>
      <c r="O46" s="16">
        <f t="shared" si="0"/>
        <v>2867.64</v>
      </c>
      <c r="P46" s="49">
        <f>992.53+174.4</f>
        <v>1166.93</v>
      </c>
      <c r="Q46" s="49">
        <f>28.65</f>
        <v>28.65</v>
      </c>
      <c r="R46" s="19">
        <f t="shared" si="1"/>
        <v>4005.9199999999996</v>
      </c>
    </row>
    <row r="47" spans="1:18" x14ac:dyDescent="0.25">
      <c r="A47" s="103" t="s">
        <v>25</v>
      </c>
      <c r="B47" s="45" t="s">
        <v>61</v>
      </c>
      <c r="C47" s="45" t="s">
        <v>50</v>
      </c>
      <c r="D47" s="45" t="s">
        <v>87</v>
      </c>
      <c r="E47" s="46">
        <v>39295</v>
      </c>
      <c r="F47" s="47">
        <v>9628.0400000000009</v>
      </c>
      <c r="G47" s="48">
        <v>9628.0400000000009</v>
      </c>
      <c r="H47" s="48">
        <f>481.4+770.24+257.64+3521.84</f>
        <v>5031.12</v>
      </c>
      <c r="I47" s="48"/>
      <c r="J47" s="48"/>
      <c r="K47" s="49"/>
      <c r="L47" s="49">
        <v>951.62</v>
      </c>
      <c r="M47" s="49">
        <v>2808.71</v>
      </c>
      <c r="N47" s="49">
        <f>1</f>
        <v>1</v>
      </c>
      <c r="O47" s="16">
        <f t="shared" si="0"/>
        <v>10897.829999999998</v>
      </c>
      <c r="P47" s="49">
        <f>992.53</f>
        <v>992.53</v>
      </c>
      <c r="Q47" s="49">
        <f>1793.5+413.5+258.99+634.69+175.2+96.28</f>
        <v>3372.16</v>
      </c>
      <c r="R47" s="19">
        <f t="shared" si="1"/>
        <v>8518.1999999999989</v>
      </c>
    </row>
    <row r="48" spans="1:18" x14ac:dyDescent="0.25">
      <c r="A48" s="103" t="s">
        <v>26</v>
      </c>
      <c r="B48" s="45" t="s">
        <v>61</v>
      </c>
      <c r="C48" s="45" t="s">
        <v>58</v>
      </c>
      <c r="D48" s="45" t="s">
        <v>58</v>
      </c>
      <c r="E48" s="46">
        <v>35309</v>
      </c>
      <c r="F48" s="47">
        <v>2840.81</v>
      </c>
      <c r="G48" s="48">
        <v>2840.81</v>
      </c>
      <c r="H48" s="48"/>
      <c r="I48" s="48"/>
      <c r="J48" s="48"/>
      <c r="K48" s="49"/>
      <c r="L48" s="49">
        <v>234.3</v>
      </c>
      <c r="M48" s="49">
        <v>0</v>
      </c>
      <c r="N48" s="49">
        <f>1+71.02</f>
        <v>72.02</v>
      </c>
      <c r="O48" s="16">
        <f t="shared" si="0"/>
        <v>2534.4899999999998</v>
      </c>
      <c r="P48" s="49">
        <f>992.53+276.9</f>
        <v>1269.4299999999998</v>
      </c>
      <c r="Q48" s="49">
        <f>378+236+28.41</f>
        <v>642.41</v>
      </c>
      <c r="R48" s="19">
        <f t="shared" si="1"/>
        <v>3161.5099999999998</v>
      </c>
    </row>
    <row r="49" spans="1:18" x14ac:dyDescent="0.25">
      <c r="A49" s="103" t="s">
        <v>27</v>
      </c>
      <c r="B49" s="45" t="s">
        <v>61</v>
      </c>
      <c r="C49" s="45" t="s">
        <v>49</v>
      </c>
      <c r="D49" s="45" t="s">
        <v>60</v>
      </c>
      <c r="E49" s="46">
        <v>35829</v>
      </c>
      <c r="F49" s="47">
        <v>3965.54</v>
      </c>
      <c r="G49" s="48">
        <v>3965.54</v>
      </c>
      <c r="H49" s="48">
        <f>490.18+846.67</f>
        <v>1336.85</v>
      </c>
      <c r="I49" s="48"/>
      <c r="J49" s="48">
        <v>2120.96</v>
      </c>
      <c r="K49" s="49"/>
      <c r="L49" s="49">
        <f>551.91+168.11</f>
        <v>720.02</v>
      </c>
      <c r="M49" s="49">
        <v>382.45</v>
      </c>
      <c r="N49" s="49">
        <f>1+99.14</f>
        <v>100.14</v>
      </c>
      <c r="O49" s="16">
        <f t="shared" si="0"/>
        <v>6220.74</v>
      </c>
      <c r="P49" s="49">
        <f>992.53</f>
        <v>992.53</v>
      </c>
      <c r="Q49" s="49">
        <f>661.39+407+720.51+244.34+39.66+288.2</f>
        <v>2361.0999999999995</v>
      </c>
      <c r="R49" s="19">
        <f t="shared" si="1"/>
        <v>4852.17</v>
      </c>
    </row>
    <row r="50" spans="1:18" x14ac:dyDescent="0.25">
      <c r="A50" s="103" t="s">
        <v>28</v>
      </c>
      <c r="B50" s="45" t="s">
        <v>61</v>
      </c>
      <c r="C50" s="45" t="s">
        <v>50</v>
      </c>
      <c r="D50" s="13" t="s">
        <v>50</v>
      </c>
      <c r="E50" s="46">
        <v>41505</v>
      </c>
      <c r="F50" s="47">
        <v>6416.01</v>
      </c>
      <c r="G50" s="48">
        <v>6416.01</v>
      </c>
      <c r="H50" s="48">
        <f>320.8+513.28</f>
        <v>834.07999999999993</v>
      </c>
      <c r="I50" s="48"/>
      <c r="J50" s="48"/>
      <c r="K50" s="49"/>
      <c r="L50" s="49">
        <v>824.59</v>
      </c>
      <c r="M50" s="49">
        <v>806.15</v>
      </c>
      <c r="N50" s="49">
        <f>1</f>
        <v>1</v>
      </c>
      <c r="O50" s="16">
        <f t="shared" si="0"/>
        <v>5618.35</v>
      </c>
      <c r="P50" s="49">
        <f>992.53</f>
        <v>992.53</v>
      </c>
      <c r="Q50" s="49">
        <f>64.16</f>
        <v>64.16</v>
      </c>
      <c r="R50" s="19">
        <f t="shared" si="1"/>
        <v>6546.72</v>
      </c>
    </row>
    <row r="51" spans="1:18" x14ac:dyDescent="0.25">
      <c r="A51" s="102" t="s">
        <v>29</v>
      </c>
      <c r="B51" s="13" t="s">
        <v>61</v>
      </c>
      <c r="C51" s="64" t="s">
        <v>59</v>
      </c>
      <c r="D51" s="13" t="s">
        <v>89</v>
      </c>
      <c r="E51" s="14">
        <v>44201</v>
      </c>
      <c r="F51" s="38">
        <v>7826.33</v>
      </c>
      <c r="G51" s="38">
        <v>7826.33</v>
      </c>
      <c r="H51" s="126"/>
      <c r="I51" s="15"/>
      <c r="J51" s="126">
        <v>1565.27</v>
      </c>
      <c r="K51" s="124"/>
      <c r="L51" s="18">
        <f>905.27+118.1</f>
        <v>1023.37</v>
      </c>
      <c r="M51" s="18">
        <f>942.42</f>
        <v>942.42</v>
      </c>
      <c r="N51" s="39">
        <f>1</f>
        <v>1</v>
      </c>
      <c r="O51" s="16">
        <f t="shared" si="0"/>
        <v>7424.8099999999995</v>
      </c>
      <c r="P51" s="30">
        <f>992.53</f>
        <v>992.53</v>
      </c>
      <c r="Q51" s="128">
        <f>395.81+97.74+79.16</f>
        <v>572.71</v>
      </c>
      <c r="R51" s="19">
        <f t="shared" si="1"/>
        <v>7844.63</v>
      </c>
    </row>
    <row r="52" spans="1:18" x14ac:dyDescent="0.25">
      <c r="A52" s="40"/>
      <c r="B52" s="40"/>
      <c r="C52" s="89"/>
      <c r="D52" s="24" t="s">
        <v>73</v>
      </c>
      <c r="E52" s="41"/>
      <c r="F52" s="42"/>
      <c r="G52" s="42"/>
      <c r="H52" s="127"/>
      <c r="I52" s="22"/>
      <c r="J52" s="127"/>
      <c r="K52" s="125"/>
      <c r="L52" s="43"/>
      <c r="M52" s="43"/>
      <c r="N52" s="44"/>
      <c r="O52" s="16">
        <f t="shared" si="0"/>
        <v>0</v>
      </c>
      <c r="P52" s="36"/>
      <c r="Q52" s="129"/>
      <c r="R52" s="34">
        <f t="shared" si="1"/>
        <v>0</v>
      </c>
    </row>
    <row r="53" spans="1:18" x14ac:dyDescent="0.25">
      <c r="A53" s="103" t="s">
        <v>30</v>
      </c>
      <c r="B53" s="45" t="s">
        <v>61</v>
      </c>
      <c r="C53" s="45" t="s">
        <v>49</v>
      </c>
      <c r="D53" s="45" t="s">
        <v>49</v>
      </c>
      <c r="E53" s="46">
        <v>33581</v>
      </c>
      <c r="F53" s="47">
        <v>3965.54</v>
      </c>
      <c r="G53" s="48">
        <v>3965.54</v>
      </c>
      <c r="H53" s="48"/>
      <c r="I53" s="48"/>
      <c r="J53" s="48"/>
      <c r="K53" s="49"/>
      <c r="L53" s="49">
        <v>369.26</v>
      </c>
      <c r="M53" s="49">
        <v>109.59</v>
      </c>
      <c r="N53" s="49">
        <f>1+99.14</f>
        <v>100.14</v>
      </c>
      <c r="O53" s="16">
        <f t="shared" si="0"/>
        <v>3386.5499999999997</v>
      </c>
      <c r="P53" s="49">
        <f>992.53+49</f>
        <v>1041.53</v>
      </c>
      <c r="Q53" s="49">
        <f>701.52+111.31+39.66</f>
        <v>852.4899999999999</v>
      </c>
      <c r="R53" s="25">
        <f t="shared" si="1"/>
        <v>3575.59</v>
      </c>
    </row>
    <row r="54" spans="1:18" x14ac:dyDescent="0.25">
      <c r="A54" s="103" t="s">
        <v>31</v>
      </c>
      <c r="B54" s="45" t="s">
        <v>61</v>
      </c>
      <c r="C54" s="45" t="s">
        <v>49</v>
      </c>
      <c r="D54" s="45" t="s">
        <v>80</v>
      </c>
      <c r="E54" s="46">
        <v>35339</v>
      </c>
      <c r="F54" s="47">
        <v>3965.54</v>
      </c>
      <c r="G54" s="48">
        <v>2114.9499999999998</v>
      </c>
      <c r="H54" s="48">
        <v>712.99</v>
      </c>
      <c r="I54" s="48"/>
      <c r="J54" s="48"/>
      <c r="K54" s="49"/>
      <c r="L54" s="49">
        <v>294.36</v>
      </c>
      <c r="M54" s="49"/>
      <c r="N54" s="49">
        <f>1+52.87+396.96</f>
        <v>450.83</v>
      </c>
      <c r="O54" s="16">
        <f t="shared" si="0"/>
        <v>2082.7499999999995</v>
      </c>
      <c r="P54" s="49">
        <f>992.53+38.8</f>
        <v>1031.33</v>
      </c>
      <c r="Q54" s="49">
        <f>39.66</f>
        <v>39.659999999999997</v>
      </c>
      <c r="R54" s="19">
        <f t="shared" si="1"/>
        <v>3074.4199999999996</v>
      </c>
    </row>
    <row r="55" spans="1:18" x14ac:dyDescent="0.25">
      <c r="A55" s="103" t="s">
        <v>32</v>
      </c>
      <c r="B55" s="45" t="s">
        <v>61</v>
      </c>
      <c r="C55" s="45" t="s">
        <v>49</v>
      </c>
      <c r="D55" s="45" t="s">
        <v>49</v>
      </c>
      <c r="E55" s="46">
        <v>31761</v>
      </c>
      <c r="F55" s="47">
        <v>4874.03</v>
      </c>
      <c r="G55" s="48">
        <v>4874.03</v>
      </c>
      <c r="H55" s="48">
        <f>292.44+243.7</f>
        <v>536.14</v>
      </c>
      <c r="I55" s="48"/>
      <c r="J55" s="48"/>
      <c r="K55" s="49"/>
      <c r="L55" s="49">
        <v>567</v>
      </c>
      <c r="M55" s="49">
        <v>371.57</v>
      </c>
      <c r="N55" s="49">
        <f>1+121.85</f>
        <v>122.85</v>
      </c>
      <c r="O55" s="16">
        <f t="shared" si="0"/>
        <v>4348.75</v>
      </c>
      <c r="P55" s="49">
        <f>992.53+156.8</f>
        <v>1149.33</v>
      </c>
      <c r="Q55" s="49">
        <f>346.36+175.78+67.2+48.74</f>
        <v>638.08000000000004</v>
      </c>
      <c r="R55" s="19">
        <f t="shared" si="1"/>
        <v>4860</v>
      </c>
    </row>
    <row r="56" spans="1:18" x14ac:dyDescent="0.25">
      <c r="A56" s="103" t="s">
        <v>33</v>
      </c>
      <c r="B56" s="45" t="s">
        <v>61</v>
      </c>
      <c r="C56" s="45" t="s">
        <v>49</v>
      </c>
      <c r="D56" s="45" t="s">
        <v>49</v>
      </c>
      <c r="E56" s="46">
        <v>41218</v>
      </c>
      <c r="F56" s="47">
        <v>2950.73</v>
      </c>
      <c r="G56" s="48">
        <v>2950.73</v>
      </c>
      <c r="H56" s="48"/>
      <c r="I56" s="48"/>
      <c r="J56" s="48"/>
      <c r="K56" s="49"/>
      <c r="L56" s="49">
        <v>247.49</v>
      </c>
      <c r="M56" s="49">
        <v>0</v>
      </c>
      <c r="N56" s="49">
        <f>1+73.77</f>
        <v>74.77</v>
      </c>
      <c r="O56" s="16">
        <f t="shared" si="0"/>
        <v>2628.47</v>
      </c>
      <c r="P56" s="49">
        <f>992.53+156.8</f>
        <v>1149.33</v>
      </c>
      <c r="Q56" s="49">
        <f>395.81+29.51</f>
        <v>425.32</v>
      </c>
      <c r="R56" s="19">
        <f t="shared" si="1"/>
        <v>3352.4799999999996</v>
      </c>
    </row>
    <row r="57" spans="1:18" x14ac:dyDescent="0.25">
      <c r="A57" s="103" t="s">
        <v>34</v>
      </c>
      <c r="B57" s="45" t="s">
        <v>61</v>
      </c>
      <c r="C57" s="45" t="s">
        <v>50</v>
      </c>
      <c r="D57" s="45" t="s">
        <v>50</v>
      </c>
      <c r="E57" s="46">
        <v>42982</v>
      </c>
      <c r="F57" s="47">
        <v>5871.61</v>
      </c>
      <c r="G57" s="48">
        <v>5871.61</v>
      </c>
      <c r="H57" s="48">
        <f>293.58+469.73</f>
        <v>763.31</v>
      </c>
      <c r="I57" s="48"/>
      <c r="J57" s="48"/>
      <c r="K57" s="49"/>
      <c r="L57" s="49">
        <v>738.47</v>
      </c>
      <c r="M57" s="49">
        <v>712.79</v>
      </c>
      <c r="N57" s="49">
        <f>1+33.08</f>
        <v>34.08</v>
      </c>
      <c r="O57" s="16">
        <f t="shared" si="0"/>
        <v>5149.58</v>
      </c>
      <c r="P57" s="49">
        <f>992.53</f>
        <v>992.53</v>
      </c>
      <c r="Q57" s="49">
        <f>58.72</f>
        <v>58.72</v>
      </c>
      <c r="R57" s="19">
        <f t="shared" si="1"/>
        <v>6083.3899999999994</v>
      </c>
    </row>
    <row r="58" spans="1:18" x14ac:dyDescent="0.25">
      <c r="A58" s="103" t="s">
        <v>35</v>
      </c>
      <c r="B58" s="45" t="s">
        <v>61</v>
      </c>
      <c r="C58" s="45" t="s">
        <v>53</v>
      </c>
      <c r="D58" s="45" t="s">
        <v>53</v>
      </c>
      <c r="E58" s="46">
        <v>41823</v>
      </c>
      <c r="F58" s="47">
        <v>4983.3100000000004</v>
      </c>
      <c r="G58" s="48">
        <v>4983.3100000000004</v>
      </c>
      <c r="H58" s="48">
        <f>249.17+398.66</f>
        <v>647.83000000000004</v>
      </c>
      <c r="I58" s="48"/>
      <c r="J58" s="48"/>
      <c r="K58" s="49"/>
      <c r="L58" s="49">
        <v>597.94000000000005</v>
      </c>
      <c r="M58" s="49">
        <v>472.85</v>
      </c>
      <c r="N58" s="49">
        <f>1+124.58</f>
        <v>125.58</v>
      </c>
      <c r="O58" s="16">
        <f t="shared" si="0"/>
        <v>4434.7700000000004</v>
      </c>
      <c r="P58" s="49">
        <f>992.53+156.8</f>
        <v>1149.33</v>
      </c>
      <c r="Q58" s="49">
        <f>49.83</f>
        <v>49.83</v>
      </c>
      <c r="R58" s="19">
        <f t="shared" si="1"/>
        <v>5534.27</v>
      </c>
    </row>
    <row r="59" spans="1:18" x14ac:dyDescent="0.25">
      <c r="A59" s="103" t="s">
        <v>36</v>
      </c>
      <c r="B59" s="45" t="s">
        <v>61</v>
      </c>
      <c r="C59" s="45" t="s">
        <v>50</v>
      </c>
      <c r="D59" s="13" t="s">
        <v>50</v>
      </c>
      <c r="E59" s="46">
        <v>41708</v>
      </c>
      <c r="F59" s="47">
        <v>6229.13</v>
      </c>
      <c r="G59" s="48">
        <v>6229.13</v>
      </c>
      <c r="H59" s="48">
        <f>311.46+498.33</f>
        <v>809.79</v>
      </c>
      <c r="I59" s="48"/>
      <c r="J59" s="48"/>
      <c r="K59" s="49"/>
      <c r="L59" s="49">
        <v>0</v>
      </c>
      <c r="M59" s="49">
        <v>859.99</v>
      </c>
      <c r="N59" s="49">
        <f>1</f>
        <v>1</v>
      </c>
      <c r="O59" s="16">
        <f t="shared" si="0"/>
        <v>6177.93</v>
      </c>
      <c r="P59" s="49">
        <f>992.53</f>
        <v>992.53</v>
      </c>
      <c r="Q59" s="49">
        <f>62.29</f>
        <v>62.29</v>
      </c>
      <c r="R59" s="19">
        <f t="shared" si="1"/>
        <v>7108.17</v>
      </c>
    </row>
    <row r="60" spans="1:18" x14ac:dyDescent="0.25">
      <c r="A60" s="102" t="s">
        <v>37</v>
      </c>
      <c r="B60" s="13" t="s">
        <v>61</v>
      </c>
      <c r="C60" s="64" t="s">
        <v>50</v>
      </c>
      <c r="D60" s="13" t="s">
        <v>90</v>
      </c>
      <c r="E60" s="74">
        <v>36739</v>
      </c>
      <c r="F60" s="38">
        <v>10836.44</v>
      </c>
      <c r="G60" s="38">
        <f>1083.64+237.19+538.61</f>
        <v>1859.44</v>
      </c>
      <c r="H60" s="38">
        <f>54.18+86.69+391.32</f>
        <v>532.19000000000005</v>
      </c>
      <c r="I60" s="38"/>
      <c r="J60" s="38"/>
      <c r="K60" s="124"/>
      <c r="L60" s="19">
        <v>95.16</v>
      </c>
      <c r="M60" s="18">
        <v>0</v>
      </c>
      <c r="N60" s="39">
        <f>1</f>
        <v>1</v>
      </c>
      <c r="O60" s="16">
        <f t="shared" si="0"/>
        <v>2295.4700000000003</v>
      </c>
      <c r="P60" s="30">
        <f>992.53+33.08</f>
        <v>1025.6099999999999</v>
      </c>
      <c r="Q60" s="39">
        <f>108.36</f>
        <v>108.36</v>
      </c>
      <c r="R60" s="19">
        <f t="shared" si="1"/>
        <v>3212.72</v>
      </c>
    </row>
    <row r="61" spans="1:18" x14ac:dyDescent="0.25">
      <c r="A61" s="40"/>
      <c r="B61" s="40"/>
      <c r="C61" s="89"/>
      <c r="D61" s="20" t="s">
        <v>72</v>
      </c>
      <c r="E61" s="90"/>
      <c r="F61" s="42"/>
      <c r="G61" s="42"/>
      <c r="H61" s="42"/>
      <c r="I61" s="42"/>
      <c r="J61" s="42"/>
      <c r="K61" s="125"/>
      <c r="L61" s="34"/>
      <c r="M61" s="43"/>
      <c r="N61" s="44"/>
      <c r="O61" s="16">
        <f t="shared" si="0"/>
        <v>0</v>
      </c>
      <c r="P61" s="36"/>
      <c r="Q61" s="44"/>
      <c r="R61" s="34">
        <f t="shared" si="1"/>
        <v>0</v>
      </c>
    </row>
    <row r="62" spans="1:18" x14ac:dyDescent="0.25">
      <c r="A62" s="100" t="s">
        <v>38</v>
      </c>
      <c r="B62" s="13" t="s">
        <v>62</v>
      </c>
      <c r="C62" s="13" t="s">
        <v>50</v>
      </c>
      <c r="D62" s="24" t="s">
        <v>50</v>
      </c>
      <c r="E62" s="14">
        <v>36342</v>
      </c>
      <c r="F62" s="26">
        <v>8127.61</v>
      </c>
      <c r="G62" s="27">
        <v>8127.61</v>
      </c>
      <c r="H62" s="27">
        <v>650.21</v>
      </c>
      <c r="I62" s="48"/>
      <c r="J62" s="27"/>
      <c r="K62" s="19"/>
      <c r="L62" s="19">
        <v>951.62</v>
      </c>
      <c r="M62" s="19">
        <v>1191.3399999999999</v>
      </c>
      <c r="N62" s="19">
        <f>1+99.24</f>
        <v>100.24</v>
      </c>
      <c r="O62" s="16">
        <f t="shared" si="0"/>
        <v>6534.62</v>
      </c>
      <c r="P62" s="19">
        <f>992.53</f>
        <v>992.53</v>
      </c>
      <c r="Q62" s="19">
        <f>81.28</f>
        <v>81.28</v>
      </c>
      <c r="R62" s="25">
        <f t="shared" si="1"/>
        <v>7445.87</v>
      </c>
    </row>
    <row r="63" spans="1:18" x14ac:dyDescent="0.25">
      <c r="A63" s="110" t="s">
        <v>98</v>
      </c>
      <c r="B63" s="64" t="s">
        <v>61</v>
      </c>
      <c r="C63" s="92" t="s">
        <v>99</v>
      </c>
      <c r="D63" s="64" t="s">
        <v>100</v>
      </c>
      <c r="E63" s="65">
        <v>45607</v>
      </c>
      <c r="F63" s="66">
        <v>4108.83</v>
      </c>
      <c r="G63" s="51">
        <v>4108.83</v>
      </c>
      <c r="H63" s="27"/>
      <c r="I63" s="67"/>
      <c r="J63" s="51"/>
      <c r="K63" s="29"/>
      <c r="L63" s="29">
        <v>386.46</v>
      </c>
      <c r="M63" s="29">
        <v>131.08000000000001</v>
      </c>
      <c r="N63" s="29">
        <f>1+102.72+66.16</f>
        <v>169.88</v>
      </c>
      <c r="O63" s="16">
        <f t="shared" si="0"/>
        <v>3421.41</v>
      </c>
      <c r="P63" s="122">
        <f>992.53+107.8</f>
        <v>1100.33</v>
      </c>
      <c r="Q63" s="29">
        <v>0</v>
      </c>
      <c r="R63" s="19">
        <f t="shared" ref="R63" si="2">O63+P63-Q63</f>
        <v>4521.74</v>
      </c>
    </row>
    <row r="64" spans="1:18" x14ac:dyDescent="0.25">
      <c r="A64" s="91"/>
      <c r="B64" s="31"/>
      <c r="C64" s="93"/>
      <c r="D64" s="31" t="s">
        <v>73</v>
      </c>
      <c r="E64" s="95"/>
      <c r="F64" s="95"/>
      <c r="G64" s="95"/>
      <c r="H64" s="94"/>
      <c r="I64" s="96"/>
      <c r="J64" s="97"/>
      <c r="K64" s="98"/>
      <c r="L64" s="98"/>
      <c r="M64" s="98"/>
      <c r="N64" s="98"/>
      <c r="O64" s="23">
        <f t="shared" si="0"/>
        <v>0</v>
      </c>
      <c r="P64" s="123"/>
      <c r="Q64" s="98"/>
      <c r="R64" s="99"/>
    </row>
    <row r="65" spans="1:1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R65" s="12"/>
    </row>
    <row r="66" spans="1:18" x14ac:dyDescent="0.25">
      <c r="A66" s="4" t="s">
        <v>74</v>
      </c>
      <c r="B66" s="5"/>
      <c r="C66" s="5"/>
      <c r="D66" s="5"/>
      <c r="K66" s="1"/>
      <c r="R66" s="10"/>
    </row>
    <row r="67" spans="1:18" x14ac:dyDescent="0.25">
      <c r="A67" s="4" t="s">
        <v>75</v>
      </c>
      <c r="B67" s="5"/>
      <c r="C67" s="5"/>
      <c r="D67" s="5"/>
      <c r="P67" s="6"/>
    </row>
    <row r="68" spans="1:18" x14ac:dyDescent="0.25">
      <c r="A68" s="4" t="s">
        <v>76</v>
      </c>
      <c r="B68" s="5"/>
      <c r="C68" s="5"/>
      <c r="D68" s="5"/>
      <c r="R68" s="11"/>
    </row>
    <row r="69" spans="1:18" x14ac:dyDescent="0.25">
      <c r="A69" s="4" t="s">
        <v>103</v>
      </c>
      <c r="P69" s="6"/>
      <c r="Q69" s="6"/>
      <c r="R69" s="11"/>
    </row>
    <row r="70" spans="1:18" x14ac:dyDescent="0.25">
      <c r="P70" s="6"/>
      <c r="Q70" s="6"/>
      <c r="R70" s="11"/>
    </row>
    <row r="71" spans="1:18" x14ac:dyDescent="0.25">
      <c r="P71" s="6"/>
      <c r="Q71" s="6"/>
      <c r="R71" s="10"/>
    </row>
    <row r="72" spans="1:18" x14ac:dyDescent="0.25">
      <c r="P72" s="7"/>
      <c r="Q72" s="6"/>
      <c r="R72" s="10"/>
    </row>
    <row r="73" spans="1:18" x14ac:dyDescent="0.25">
      <c r="O73" s="116"/>
      <c r="P73" s="117"/>
      <c r="Q73" s="6"/>
      <c r="R73" s="10"/>
    </row>
    <row r="74" spans="1:18" x14ac:dyDescent="0.25">
      <c r="D74" s="116"/>
      <c r="O74" s="116"/>
      <c r="P74" s="117"/>
      <c r="Q74" s="6"/>
      <c r="R74" s="1"/>
    </row>
    <row r="75" spans="1:18" x14ac:dyDescent="0.25">
      <c r="D75" s="116"/>
      <c r="O75" s="11">
        <f>SUM(O71:O73)</f>
        <v>0</v>
      </c>
      <c r="P75" s="117"/>
      <c r="Q75" s="6"/>
      <c r="R75" s="1"/>
    </row>
    <row r="76" spans="1:18" x14ac:dyDescent="0.25">
      <c r="D76" s="116"/>
      <c r="O76" s="116"/>
      <c r="P76" s="117"/>
      <c r="Q76" s="6"/>
      <c r="R76" s="1"/>
    </row>
    <row r="77" spans="1:18" x14ac:dyDescent="0.25">
      <c r="O77" s="116"/>
      <c r="P77" s="117"/>
      <c r="Q77" s="6"/>
      <c r="R77" s="1"/>
    </row>
    <row r="78" spans="1:18" x14ac:dyDescent="0.25">
      <c r="P78" s="6"/>
      <c r="Q78" s="6"/>
      <c r="R78" s="1"/>
    </row>
    <row r="79" spans="1:18" x14ac:dyDescent="0.25">
      <c r="D79" s="6"/>
      <c r="P79" s="6"/>
      <c r="Q79" s="6"/>
      <c r="R79" s="1"/>
    </row>
    <row r="80" spans="1:18" x14ac:dyDescent="0.25">
      <c r="O80" s="6"/>
      <c r="R80" s="11"/>
    </row>
    <row r="81" spans="13:20" x14ac:dyDescent="0.25">
      <c r="M81" s="6"/>
      <c r="P81" s="1"/>
      <c r="Q81" s="1"/>
      <c r="R81" s="11"/>
    </row>
    <row r="82" spans="13:20" x14ac:dyDescent="0.25">
      <c r="R82" s="11"/>
    </row>
    <row r="83" spans="13:20" x14ac:dyDescent="0.25">
      <c r="R83" s="11"/>
    </row>
    <row r="84" spans="13:20" x14ac:dyDescent="0.25">
      <c r="R84" s="11"/>
      <c r="T84" s="1"/>
    </row>
    <row r="85" spans="13:20" x14ac:dyDescent="0.25">
      <c r="R85" s="10"/>
    </row>
    <row r="86" spans="13:20" x14ac:dyDescent="0.25">
      <c r="R86" s="10"/>
    </row>
    <row r="87" spans="13:20" x14ac:dyDescent="0.25">
      <c r="R87" s="10"/>
    </row>
    <row r="88" spans="13:20" x14ac:dyDescent="0.25">
      <c r="R88" s="10"/>
    </row>
    <row r="89" spans="13:20" x14ac:dyDescent="0.25">
      <c r="R89" s="10"/>
    </row>
    <row r="90" spans="13:20" x14ac:dyDescent="0.25">
      <c r="R90" s="10"/>
    </row>
    <row r="92" spans="13:20" x14ac:dyDescent="0.25">
      <c r="R92" s="1"/>
    </row>
  </sheetData>
  <mergeCells count="17">
    <mergeCell ref="K17:K18"/>
    <mergeCell ref="J17:J18"/>
    <mergeCell ref="H17:H18"/>
    <mergeCell ref="Q41:Q42"/>
    <mergeCell ref="K31:K32"/>
    <mergeCell ref="H41:H42"/>
    <mergeCell ref="J41:J42"/>
    <mergeCell ref="K41:K42"/>
    <mergeCell ref="J8:K8"/>
    <mergeCell ref="A7:R7"/>
    <mergeCell ref="G8:H8"/>
    <mergeCell ref="L8:M8"/>
    <mergeCell ref="K60:K61"/>
    <mergeCell ref="H51:H52"/>
    <mergeCell ref="J51:J52"/>
    <mergeCell ref="K51:K52"/>
    <mergeCell ref="Q51:Q52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2025-11-28T15:45:54Z</dcterms:modified>
</cp:coreProperties>
</file>