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F5570F22-E089-4CB0-B703-FDB02A44A3A6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Dezembr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5" i="55" l="1"/>
  <c r="L65" i="55"/>
  <c r="M64" i="55"/>
  <c r="L64" i="55"/>
  <c r="P53" i="55"/>
  <c r="Q53" i="55"/>
  <c r="M53" i="55"/>
  <c r="L53" i="55"/>
  <c r="M52" i="55"/>
  <c r="L52" i="55"/>
  <c r="L48" i="55"/>
  <c r="M42" i="55"/>
  <c r="L42" i="55"/>
  <c r="M38" i="55"/>
  <c r="L38" i="55"/>
  <c r="Q34" i="55"/>
  <c r="M34" i="55"/>
  <c r="L34" i="55"/>
  <c r="Q26" i="55"/>
  <c r="M26" i="55"/>
  <c r="L26" i="55"/>
  <c r="M23" i="55"/>
  <c r="L23" i="55"/>
  <c r="Q19" i="55"/>
  <c r="L19" i="55"/>
  <c r="P10" i="55"/>
  <c r="Q10" i="55"/>
  <c r="M10" i="55"/>
  <c r="L10" i="55"/>
  <c r="K12" i="55" l="1"/>
  <c r="K65" i="55"/>
  <c r="K64" i="55"/>
  <c r="M62" i="55"/>
  <c r="L62" i="55"/>
  <c r="K62" i="55"/>
  <c r="M61" i="55"/>
  <c r="K61" i="55"/>
  <c r="M60" i="55"/>
  <c r="L60" i="55"/>
  <c r="K60" i="55"/>
  <c r="K58" i="55"/>
  <c r="M59" i="55"/>
  <c r="L59" i="55"/>
  <c r="K59" i="55"/>
  <c r="L58" i="55"/>
  <c r="M57" i="55"/>
  <c r="L57" i="55"/>
  <c r="K57" i="55"/>
  <c r="L56" i="55"/>
  <c r="K56" i="55"/>
  <c r="M55" i="55"/>
  <c r="L55" i="55"/>
  <c r="K55" i="55"/>
  <c r="K53" i="55"/>
  <c r="K52" i="55"/>
  <c r="M51" i="55"/>
  <c r="L51" i="55"/>
  <c r="K51" i="55"/>
  <c r="L50" i="55"/>
  <c r="K50" i="55"/>
  <c r="M49" i="55"/>
  <c r="L49" i="55"/>
  <c r="K49" i="55"/>
  <c r="M48" i="55"/>
  <c r="K48" i="55"/>
  <c r="M47" i="55"/>
  <c r="L47" i="55"/>
  <c r="K47" i="55"/>
  <c r="M45" i="55"/>
  <c r="L45" i="55"/>
  <c r="K45" i="55"/>
  <c r="M43" i="55"/>
  <c r="L43" i="55"/>
  <c r="K43" i="55"/>
  <c r="K42" i="55"/>
  <c r="M41" i="55"/>
  <c r="L41" i="55"/>
  <c r="K41" i="55"/>
  <c r="L39" i="55"/>
  <c r="K38" i="55"/>
  <c r="M36" i="55"/>
  <c r="L36" i="55"/>
  <c r="K36" i="55"/>
  <c r="M35" i="55"/>
  <c r="L35" i="55"/>
  <c r="K35" i="55"/>
  <c r="K34" i="55"/>
  <c r="L33" i="55"/>
  <c r="K33" i="55"/>
  <c r="M31" i="55"/>
  <c r="L31" i="55"/>
  <c r="K31" i="55"/>
  <c r="M30" i="55"/>
  <c r="L30" i="55"/>
  <c r="K30" i="55"/>
  <c r="M28" i="55"/>
  <c r="L28" i="55"/>
  <c r="K28" i="55"/>
  <c r="M27" i="55"/>
  <c r="L27" i="55"/>
  <c r="K27" i="55"/>
  <c r="K26" i="55"/>
  <c r="M24" i="55"/>
  <c r="L24" i="55"/>
  <c r="K24" i="55"/>
  <c r="K23" i="55"/>
  <c r="L21" i="55"/>
  <c r="K21" i="55"/>
  <c r="M20" i="55"/>
  <c r="L20" i="55"/>
  <c r="K20" i="55"/>
  <c r="K19" i="55"/>
  <c r="M17" i="55"/>
  <c r="L17" i="55"/>
  <c r="K17" i="55"/>
  <c r="L16" i="55"/>
  <c r="K16" i="55"/>
  <c r="L14" i="55"/>
  <c r="K14" i="55"/>
  <c r="K10" i="55"/>
  <c r="M12" i="55"/>
  <c r="L12" i="55"/>
  <c r="P39" i="55" l="1"/>
  <c r="O39" i="55"/>
  <c r="R39" i="55" s="1"/>
  <c r="N39" i="55"/>
  <c r="P65" i="55"/>
  <c r="N65" i="55"/>
  <c r="H65" i="55"/>
  <c r="N64" i="55"/>
  <c r="P62" i="55"/>
  <c r="H62" i="55"/>
  <c r="H61" i="55"/>
  <c r="P60" i="55"/>
  <c r="N60" i="55"/>
  <c r="H60" i="55"/>
  <c r="N59" i="55"/>
  <c r="P58" i="55"/>
  <c r="H58" i="55"/>
  <c r="Q57" i="55"/>
  <c r="P57" i="55"/>
  <c r="H57" i="55"/>
  <c r="Q56" i="55"/>
  <c r="P56" i="55"/>
  <c r="N56" i="55"/>
  <c r="Q55" i="55"/>
  <c r="P55" i="55"/>
  <c r="N52" i="55"/>
  <c r="P51" i="55"/>
  <c r="N51" i="55"/>
  <c r="Q51" i="55"/>
  <c r="P50" i="55"/>
  <c r="Q49" i="55" l="1"/>
  <c r="H49" i="55"/>
  <c r="P48" i="55"/>
  <c r="H47" i="55"/>
  <c r="H43" i="55"/>
  <c r="N42" i="55"/>
  <c r="H42" i="55"/>
  <c r="Q41" i="55"/>
  <c r="H41" i="55"/>
  <c r="H38" i="55"/>
  <c r="Q36" i="55"/>
  <c r="P36" i="55"/>
  <c r="Q35" i="55"/>
  <c r="P35" i="55"/>
  <c r="N35" i="55"/>
  <c r="H35" i="55"/>
  <c r="P34" i="55"/>
  <c r="H34" i="55"/>
  <c r="Q33" i="55"/>
  <c r="N33" i="55"/>
  <c r="Q31" i="55"/>
  <c r="H31" i="55"/>
  <c r="Q30" i="55"/>
  <c r="P30" i="55"/>
  <c r="N30" i="55"/>
  <c r="Q27" i="55"/>
  <c r="P27" i="55"/>
  <c r="H27" i="55"/>
  <c r="N26" i="55"/>
  <c r="H26" i="55"/>
  <c r="Q24" i="55"/>
  <c r="P24" i="55"/>
  <c r="H24" i="55"/>
  <c r="P23" i="55"/>
  <c r="N23" i="55"/>
  <c r="H23" i="55"/>
  <c r="P21" i="55"/>
  <c r="P20" i="55"/>
  <c r="H20" i="55"/>
  <c r="P19" i="55"/>
  <c r="N19" i="55"/>
  <c r="H17" i="55"/>
  <c r="G17" i="55"/>
  <c r="P16" i="55"/>
  <c r="H16" i="55"/>
  <c r="Q14" i="55"/>
  <c r="P14" i="55"/>
  <c r="N14" i="55"/>
  <c r="H14" i="55"/>
  <c r="Q12" i="55"/>
  <c r="N12" i="55"/>
  <c r="H10" i="55"/>
  <c r="O18" i="55"/>
  <c r="R18" i="55" s="1"/>
  <c r="N62" i="55" l="1"/>
  <c r="N61" i="55"/>
  <c r="H59" i="55"/>
  <c r="Q58" i="55"/>
  <c r="N57" i="55"/>
  <c r="N49" i="55"/>
  <c r="Q47" i="55"/>
  <c r="N43" i="55"/>
  <c r="N38" i="55"/>
  <c r="N24" i="55" l="1"/>
  <c r="N21" i="55"/>
  <c r="O21" i="55" s="1"/>
  <c r="R21" i="55" s="1"/>
  <c r="N17" i="55"/>
  <c r="N16" i="55"/>
  <c r="O14" i="55"/>
  <c r="Q64" i="55"/>
  <c r="P64" i="55"/>
  <c r="Q62" i="55"/>
  <c r="Q61" i="55"/>
  <c r="P61" i="55"/>
  <c r="Q60" i="55"/>
  <c r="Q59" i="55"/>
  <c r="P59" i="55"/>
  <c r="N58" i="55"/>
  <c r="N55" i="55"/>
  <c r="Q52" i="55"/>
  <c r="P52" i="55"/>
  <c r="Q50" i="55"/>
  <c r="N50" i="55"/>
  <c r="P49" i="55"/>
  <c r="Q48" i="55"/>
  <c r="N48" i="55"/>
  <c r="P47" i="55"/>
  <c r="P45" i="55"/>
  <c r="P43" i="55"/>
  <c r="Q42" i="55"/>
  <c r="P42" i="55"/>
  <c r="P41" i="55"/>
  <c r="Q38" i="55"/>
  <c r="P38" i="55"/>
  <c r="N36" i="55"/>
  <c r="N34" i="55"/>
  <c r="P33" i="55"/>
  <c r="P28" i="55"/>
  <c r="H28" i="55"/>
  <c r="N27" i="55"/>
  <c r="P26" i="55"/>
  <c r="Q23" i="55"/>
  <c r="Q20" i="55"/>
  <c r="N20" i="55"/>
  <c r="H19" i="55"/>
  <c r="P17" i="55"/>
  <c r="Q16" i="55"/>
  <c r="O16" i="55"/>
  <c r="P12" i="55"/>
  <c r="N10" i="55"/>
  <c r="O66" i="55"/>
  <c r="O63" i="55"/>
  <c r="O54" i="55"/>
  <c r="O46" i="55"/>
  <c r="O44" i="55"/>
  <c r="O37" i="55"/>
  <c r="O32" i="55"/>
  <c r="O29" i="55"/>
  <c r="O15" i="55"/>
  <c r="O13" i="55"/>
  <c r="O20" i="55" l="1"/>
  <c r="O17" i="55"/>
  <c r="O12" i="55"/>
  <c r="O58" i="55"/>
  <c r="O55" i="55"/>
  <c r="O50" i="55"/>
  <c r="O31" i="55"/>
  <c r="R31" i="55" s="1"/>
  <c r="O30" i="55" l="1"/>
  <c r="O65" i="55"/>
  <c r="O51" i="55"/>
  <c r="O56" i="55"/>
  <c r="O34" i="55"/>
  <c r="O64" i="55"/>
  <c r="O57" i="55"/>
  <c r="N53" i="55"/>
  <c r="O53" i="55" s="1"/>
  <c r="H52" i="55"/>
  <c r="H48" i="55"/>
  <c r="O48" i="55" s="1"/>
  <c r="O38" i="55"/>
  <c r="O36" i="55"/>
  <c r="O35" i="55"/>
  <c r="O27" i="55"/>
  <c r="O24" i="55"/>
  <c r="O23" i="55"/>
  <c r="O19" i="55"/>
  <c r="O10" i="55"/>
  <c r="O49" i="55" l="1"/>
  <c r="O26" i="55"/>
  <c r="O52" i="55"/>
  <c r="O60" i="55"/>
  <c r="O42" i="55"/>
  <c r="O61" i="55"/>
  <c r="O59" i="55"/>
  <c r="N45" i="55"/>
  <c r="O45" i="55" s="1"/>
  <c r="O43" i="55"/>
  <c r="R12" i="55" l="1"/>
  <c r="O33" i="55" l="1"/>
  <c r="O62" i="55" l="1"/>
  <c r="R65" i="55" l="1"/>
  <c r="R63" i="55" l="1"/>
  <c r="R54" i="55"/>
  <c r="R46" i="55"/>
  <c r="R44" i="55"/>
  <c r="R37" i="55"/>
  <c r="R29" i="55"/>
  <c r="R15" i="55"/>
  <c r="R57" i="55" l="1"/>
  <c r="R23" i="55"/>
  <c r="R52" i="55"/>
  <c r="R61" i="55"/>
  <c r="R24" i="55"/>
  <c r="R55" i="55"/>
  <c r="R59" i="55"/>
  <c r="R38" i="55"/>
  <c r="R35" i="55"/>
  <c r="R34" i="55"/>
  <c r="R43" i="55"/>
  <c r="R64" i="55"/>
  <c r="R27" i="55"/>
  <c r="R14" i="55"/>
  <c r="R49" i="55"/>
  <c r="R20" i="55"/>
  <c r="R60" i="55"/>
  <c r="R62" i="55"/>
  <c r="R50" i="55"/>
  <c r="R58" i="55"/>
  <c r="R19" i="55"/>
  <c r="R51" i="55"/>
  <c r="R30" i="55"/>
  <c r="R36" i="55"/>
  <c r="R45" i="55"/>
  <c r="R16" i="55"/>
  <c r="R42" i="55"/>
  <c r="R48" i="55"/>
  <c r="R56" i="55"/>
  <c r="N28" i="55"/>
  <c r="O28" i="55" s="1"/>
  <c r="R17" i="55"/>
  <c r="R28" i="55" l="1"/>
  <c r="R26" i="55" l="1"/>
  <c r="R53" i="55" l="1"/>
  <c r="R33" i="55" l="1"/>
  <c r="N47" i="55"/>
  <c r="O47" i="55" s="1"/>
  <c r="N41" i="55"/>
  <c r="O41" i="55" s="1"/>
  <c r="R47" i="55" l="1"/>
  <c r="R41" i="55"/>
  <c r="R10" i="55"/>
</calcChain>
</file>

<file path=xl/sharedStrings.xml><?xml version="1.0" encoding="utf-8"?>
<sst xmlns="http://schemas.openxmlformats.org/spreadsheetml/2006/main" count="207" uniqueCount="110">
  <si>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</si>
  <si>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</si>
  <si>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</si>
  <si>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</si>
  <si>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</si>
  <si>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</si>
  <si>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</si>
  <si>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</si>
  <si>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</si>
  <si>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</si>
  <si>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</si>
  <si>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</si>
  <si>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</si>
  <si>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</si>
  <si>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</si>
  <si>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</si>
  <si>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</si>
  <si>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</si>
  <si>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</si>
  <si>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</si>
  <si>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</si>
  <si>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</si>
  <si>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</si>
  <si>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</si>
  <si>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</si>
  <si>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</si>
  <si>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</si>
  <si>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</si>
  <si>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</si>
  <si>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</si>
  <si>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</si>
  <si>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</si>
  <si>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</si>
  <si>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</si>
  <si>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</si>
  <si>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</si>
  <si>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</si>
  <si>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</si>
  <si>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</si>
  <si>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</si>
  <si>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</si>
  <si>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</si>
  <si>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</si>
  <si>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</si>
  <si>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</si>
  <si>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</si>
  <si>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</si>
  <si>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</si>
  <si>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</si>
  <si>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</si>
  <si>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</si>
  <si>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</si>
  <si>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</si>
  <si>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</si>
  <si>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</si>
  <si>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</si>
  <si>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</si>
  <si>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</si>
  <si>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</si>
  <si>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</si>
  <si>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</si>
  <si>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</si>
  <si>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</si>
  <si>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</si>
  <si>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</si>
  <si>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</si>
  <si>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</si>
  <si>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</si>
  <si>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</si>
  <si>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</si>
  <si>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</si>
  <si>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</si>
  <si>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</si>
  <si>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</si>
  <si>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</si>
  <si>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</si>
  <si>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</si>
  <si>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</si>
  <si>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</si>
  <si>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</si>
  <si>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</si>
  <si>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</si>
  <si>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</si>
  <si>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</si>
  <si>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</si>
  <si>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</si>
  <si>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</si>
  <si>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</si>
  <si>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</si>
  <si>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</si>
  <si>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</si>
  <si>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</si>
  <si>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</si>
  <si>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</si>
  <si>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</si>
  <si>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</si>
  <si>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</si>
  <si>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</si>
  <si>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</si>
  <si>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</si>
  <si>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</si>
  <si>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</si>
  <si>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</si>
  <si>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</si>
  <si>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</si>
  <si>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REMUNERAÇÃO REFERENTE À FOLHA DE PAGAMENTO DE DEZEMBRO/2025 - CONSELHO REGIONAL DE ENFERMAGEM DO RIO GRANDE DO NORTE</t>
  </si>
  <si>
    <t>KALIANE EVENY MARTINS DE OLIVEIRA</t>
  </si>
  <si>
    <t xml:space="preserve">13º SALÁRIO </t>
  </si>
  <si>
    <t>COORDENADOR DO PROTOCOLO E ARQUIVO GERAL</t>
  </si>
  <si>
    <t>BIBLIOTECÁRIO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</si>
</sst>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4" fillId="0" borderId="8" xfId="1" applyFont="1" applyBorder="1" applyAlignment="1">
      <alignment horizontal="center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4"/>
  <sheetViews>
    <sheetView tabSelected="1" workbookViewId="0">
      <selection activeCell="O76" sqref="O76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140625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6" t="s">
        <v>105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18" x14ac:dyDescent="0.25">
      <c r="A8" s="3"/>
      <c r="B8" s="3"/>
      <c r="C8" s="3"/>
      <c r="D8" s="3"/>
      <c r="E8" s="3"/>
      <c r="F8" s="3"/>
      <c r="G8" s="125" t="s">
        <v>39</v>
      </c>
      <c r="H8" s="125"/>
      <c r="I8" s="3" t="s">
        <v>77</v>
      </c>
      <c r="J8" s="125" t="s">
        <v>41</v>
      </c>
      <c r="K8" s="125"/>
      <c r="L8" s="125" t="s">
        <v>42</v>
      </c>
      <c r="M8" s="125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107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96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236.53+197.11+315.37+3913.16+1451.98+290.4</f>
        <v>6404.5499999999993</v>
      </c>
      <c r="I10" s="15"/>
      <c r="J10" s="15">
        <v>6692.28</v>
      </c>
      <c r="K10" s="16">
        <f>8604.35-4084.87+145.2</f>
        <v>4664.68</v>
      </c>
      <c r="L10" s="16">
        <f>951.62+951.62+746.5</f>
        <v>2649.74</v>
      </c>
      <c r="M10" s="16">
        <f>1674.93+1195.77+39.93+857.82</f>
        <v>3768.45</v>
      </c>
      <c r="N10" s="17">
        <f>1+98.55</f>
        <v>99.55</v>
      </c>
      <c r="O10" s="16">
        <f>G10+H10+I10+J10+K10-L10-M10-N10</f>
        <v>15185.949999999997</v>
      </c>
      <c r="P10" s="18">
        <f>992.53+92.8+1912.07</f>
        <v>2997.3999999999996</v>
      </c>
      <c r="Q10" s="17">
        <f>1298.34+364.77+39.42+649.17</f>
        <v>2351.6999999999998</v>
      </c>
      <c r="R10" s="19">
        <f>O10+P10-Q10</f>
        <v>15831.649999999998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0" t="s">
        <v>101</v>
      </c>
      <c r="B12" s="13" t="s">
        <v>61</v>
      </c>
      <c r="C12" s="13" t="s">
        <v>56</v>
      </c>
      <c r="D12" s="13" t="s">
        <v>83</v>
      </c>
      <c r="E12" s="107">
        <v>45779</v>
      </c>
      <c r="F12" s="73">
        <v>7826.33</v>
      </c>
      <c r="G12" s="73">
        <v>7826.33</v>
      </c>
      <c r="H12" s="73"/>
      <c r="I12" s="108"/>
      <c r="J12" s="73"/>
      <c r="K12" s="37">
        <f>5217.55-1238.5</f>
        <v>3979.05</v>
      </c>
      <c r="L12" s="37">
        <f>905.27+540.04</f>
        <v>1445.31</v>
      </c>
      <c r="M12" s="37">
        <f>942.42+334.29</f>
        <v>1276.71</v>
      </c>
      <c r="N12" s="106">
        <f>1+132.32</f>
        <v>133.32</v>
      </c>
      <c r="O12" s="16">
        <f t="shared" ref="O12:O66" si="0">G12+H12+I12+J12+K12-L12-M12-N12</f>
        <v>8950.0400000000009</v>
      </c>
      <c r="P12" s="109">
        <f>992.53</f>
        <v>992.53</v>
      </c>
      <c r="Q12" s="106">
        <f>402.63+54.98</f>
        <v>457.61</v>
      </c>
      <c r="R12" s="19">
        <f>O12+P12-Q12</f>
        <v>9484.9600000000009</v>
      </c>
    </row>
    <row r="13" spans="1:18" s="8" customFormat="1" x14ac:dyDescent="0.25">
      <c r="A13" s="24"/>
      <c r="B13" s="24"/>
      <c r="C13" s="24"/>
      <c r="D13" s="20" t="s">
        <v>73</v>
      </c>
      <c r="E13" s="107"/>
      <c r="F13" s="73"/>
      <c r="G13" s="73"/>
      <c r="H13" s="73"/>
      <c r="I13" s="108"/>
      <c r="J13" s="73"/>
      <c r="K13" s="37"/>
      <c r="L13" s="37"/>
      <c r="M13" s="37"/>
      <c r="N13" s="106"/>
      <c r="O13" s="16">
        <f t="shared" si="0"/>
        <v>0</v>
      </c>
      <c r="P13" s="109"/>
      <c r="Q13" s="106"/>
      <c r="R13" s="37"/>
    </row>
    <row r="14" spans="1:18" x14ac:dyDescent="0.25">
      <c r="A14" s="96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2465.3000000000002</v>
      </c>
      <c r="H14" s="27">
        <f>166.41+33.28</f>
        <v>199.69</v>
      </c>
      <c r="I14" s="28"/>
      <c r="J14" s="27"/>
      <c r="K14" s="19">
        <f>2465.3-1170.39+16.64</f>
        <v>1311.5500000000002</v>
      </c>
      <c r="L14" s="19">
        <f>217.07+199.1+1.5</f>
        <v>417.66999999999996</v>
      </c>
      <c r="M14" s="19">
        <v>0</v>
      </c>
      <c r="N14" s="29">
        <f>1+61.63</f>
        <v>62.63</v>
      </c>
      <c r="O14" s="16">
        <f t="shared" si="0"/>
        <v>3496.2400000000002</v>
      </c>
      <c r="P14" s="30">
        <f>992.53+186.2</f>
        <v>1178.73</v>
      </c>
      <c r="Q14" s="29">
        <f>159.53+68.75</f>
        <v>228.28</v>
      </c>
      <c r="R14" s="19">
        <f t="shared" ref="R14:R64" si="1">O14+P14-Q14</f>
        <v>4446.6900000000005</v>
      </c>
    </row>
    <row r="15" spans="1:18" x14ac:dyDescent="0.25">
      <c r="A15" s="97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97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>
        <f>5.53+1.11</f>
        <v>6.6400000000000006</v>
      </c>
      <c r="I16" s="33"/>
      <c r="J16" s="33"/>
      <c r="K16" s="34">
        <f>2950.73-1400.84+0.55</f>
        <v>1550.44</v>
      </c>
      <c r="L16" s="34">
        <f>248.28+247.49+0.06</f>
        <v>495.83</v>
      </c>
      <c r="M16" s="34">
        <v>0</v>
      </c>
      <c r="N16" s="34">
        <f>1+73.77</f>
        <v>74.77</v>
      </c>
      <c r="O16" s="16">
        <f t="shared" si="0"/>
        <v>3937.2099999999996</v>
      </c>
      <c r="P16" s="34">
        <f>992.53+186.2</f>
        <v>1178.73</v>
      </c>
      <c r="Q16" s="34">
        <f>29.51</f>
        <v>29.51</v>
      </c>
      <c r="R16" s="25">
        <f t="shared" si="1"/>
        <v>5086.4299999999994</v>
      </c>
    </row>
    <row r="17" spans="1:18" x14ac:dyDescent="0.25">
      <c r="A17" s="98" t="s">
        <v>6</v>
      </c>
      <c r="B17" s="13" t="s">
        <v>61</v>
      </c>
      <c r="C17" s="64" t="s">
        <v>51</v>
      </c>
      <c r="D17" s="13" t="s">
        <v>51</v>
      </c>
      <c r="E17" s="70">
        <v>36087</v>
      </c>
      <c r="F17" s="38">
        <v>3767.24</v>
      </c>
      <c r="G17" s="38">
        <f>3767.24</f>
        <v>3767.24</v>
      </c>
      <c r="H17" s="130">
        <f>4637.1+927.42</f>
        <v>5564.52</v>
      </c>
      <c r="I17" s="15"/>
      <c r="J17" s="130"/>
      <c r="K17" s="123">
        <f>6811.56-3715.5+463.71</f>
        <v>3559.7700000000004</v>
      </c>
      <c r="L17" s="18">
        <f>951.62+763.2+64.92</f>
        <v>1779.7400000000002</v>
      </c>
      <c r="M17" s="18">
        <f>1395.81+754.57+109.67</f>
        <v>2260.0500000000002</v>
      </c>
      <c r="N17" s="39">
        <f>1</f>
        <v>1</v>
      </c>
      <c r="O17" s="16">
        <f t="shared" si="0"/>
        <v>8850.7400000000016</v>
      </c>
      <c r="P17" s="30">
        <f>992.53</f>
        <v>992.53</v>
      </c>
      <c r="Q17" s="29">
        <v>37.67</v>
      </c>
      <c r="R17" s="19">
        <f t="shared" si="1"/>
        <v>9805.6000000000022</v>
      </c>
    </row>
    <row r="18" spans="1:18" x14ac:dyDescent="0.25">
      <c r="A18" s="40"/>
      <c r="B18" s="40"/>
      <c r="C18" s="85"/>
      <c r="D18" s="20"/>
      <c r="E18" s="86"/>
      <c r="F18" s="42"/>
      <c r="G18" s="42"/>
      <c r="H18" s="131"/>
      <c r="I18" s="22"/>
      <c r="J18" s="131"/>
      <c r="K18" s="129"/>
      <c r="L18" s="43"/>
      <c r="M18" s="43"/>
      <c r="N18" s="44"/>
      <c r="O18" s="16">
        <f t="shared" si="0"/>
        <v>0</v>
      </c>
      <c r="P18" s="36"/>
      <c r="Q18" s="35"/>
      <c r="R18" s="34">
        <f t="shared" si="1"/>
        <v>0</v>
      </c>
    </row>
    <row r="19" spans="1:18" x14ac:dyDescent="0.25">
      <c r="A19" s="99" t="s">
        <v>7</v>
      </c>
      <c r="B19" s="45" t="s">
        <v>61</v>
      </c>
      <c r="C19" s="45" t="s">
        <v>52</v>
      </c>
      <c r="D19" s="20" t="s">
        <v>52</v>
      </c>
      <c r="E19" s="46">
        <v>41218</v>
      </c>
      <c r="F19" s="47">
        <v>2102.4</v>
      </c>
      <c r="G19" s="48">
        <v>2102.4</v>
      </c>
      <c r="H19" s="48">
        <f>105.12+168.19</f>
        <v>273.31</v>
      </c>
      <c r="I19" s="48">
        <v>0</v>
      </c>
      <c r="J19" s="48">
        <v>3167.61</v>
      </c>
      <c r="K19" s="49">
        <f>2375.71-1127.86</f>
        <v>1247.8500000000001</v>
      </c>
      <c r="L19" s="49">
        <f>191.04+191.04+273.51</f>
        <v>655.58999999999992</v>
      </c>
      <c r="M19" s="49">
        <v>0</v>
      </c>
      <c r="N19" s="49">
        <f>1+52.56</f>
        <v>53.56</v>
      </c>
      <c r="O19" s="16">
        <f t="shared" si="0"/>
        <v>6082.0199999999995</v>
      </c>
      <c r="P19" s="49">
        <f>992.53+39.2</f>
        <v>1031.73</v>
      </c>
      <c r="Q19" s="49">
        <f>332.54+21.02+332.54</f>
        <v>686.1</v>
      </c>
      <c r="R19" s="25">
        <f t="shared" si="1"/>
        <v>6427.65</v>
      </c>
    </row>
    <row r="20" spans="1:18" x14ac:dyDescent="0.25">
      <c r="A20" s="96" t="s">
        <v>8</v>
      </c>
      <c r="B20" s="13" t="s">
        <v>61</v>
      </c>
      <c r="C20" s="13" t="s">
        <v>52</v>
      </c>
      <c r="D20" s="13" t="s">
        <v>52</v>
      </c>
      <c r="E20" s="14">
        <v>41548</v>
      </c>
      <c r="F20" s="26">
        <v>2102.4</v>
      </c>
      <c r="G20" s="27">
        <v>2102.4</v>
      </c>
      <c r="H20" s="27">
        <f>105.12+168.19+1336.85+1322.6+264.52</f>
        <v>3197.2799999999997</v>
      </c>
      <c r="I20" s="27">
        <v>0</v>
      </c>
      <c r="J20" s="27"/>
      <c r="K20" s="19">
        <f>3712.56-1763.43+132.26</f>
        <v>2081.39</v>
      </c>
      <c r="L20" s="19">
        <f>551.53+338.91+15.87</f>
        <v>906.31000000000006</v>
      </c>
      <c r="M20" s="19">
        <f>381.7+71.64+19.84</f>
        <v>473.17999999999995</v>
      </c>
      <c r="N20" s="19">
        <f>1+52.56</f>
        <v>53.56</v>
      </c>
      <c r="O20" s="16">
        <f t="shared" si="0"/>
        <v>5948.0199999999986</v>
      </c>
      <c r="P20" s="19">
        <f>992.53+166.6</f>
        <v>1159.1299999999999</v>
      </c>
      <c r="Q20" s="19">
        <f>21.02</f>
        <v>21.02</v>
      </c>
      <c r="R20" s="19">
        <f t="shared" si="1"/>
        <v>7086.1299999999983</v>
      </c>
    </row>
    <row r="21" spans="1:18" x14ac:dyDescent="0.25">
      <c r="A21" s="113" t="s">
        <v>103</v>
      </c>
      <c r="B21" s="13" t="s">
        <v>61</v>
      </c>
      <c r="C21" s="13" t="s">
        <v>57</v>
      </c>
      <c r="D21" s="13" t="s">
        <v>104</v>
      </c>
      <c r="E21" s="14">
        <v>45937</v>
      </c>
      <c r="F21" s="26">
        <v>4108.83</v>
      </c>
      <c r="G21" s="27">
        <v>4108.83</v>
      </c>
      <c r="H21" s="27"/>
      <c r="I21" s="52"/>
      <c r="J21" s="115"/>
      <c r="K21" s="19">
        <f>1027.21-513.6</f>
        <v>513.61</v>
      </c>
      <c r="L21" s="19">
        <f>386.46+77.04</f>
        <v>463.5</v>
      </c>
      <c r="M21" s="19">
        <v>131.08000000000001</v>
      </c>
      <c r="N21" s="19">
        <f>1+102.72</f>
        <v>103.72</v>
      </c>
      <c r="O21" s="16">
        <f t="shared" si="0"/>
        <v>3924.14</v>
      </c>
      <c r="P21" s="19">
        <f>992.53+209</f>
        <v>1201.53</v>
      </c>
      <c r="Q21" s="19">
        <v>0</v>
      </c>
      <c r="R21" s="30">
        <f t="shared" si="1"/>
        <v>5125.67</v>
      </c>
    </row>
    <row r="22" spans="1:18" x14ac:dyDescent="0.25">
      <c r="A22" s="114"/>
      <c r="B22" s="20"/>
      <c r="C22" s="20"/>
      <c r="D22" s="20" t="s">
        <v>73</v>
      </c>
      <c r="E22" s="21"/>
      <c r="F22" s="32"/>
      <c r="G22" s="33"/>
      <c r="H22" s="33"/>
      <c r="I22" s="55"/>
      <c r="J22" s="116"/>
      <c r="K22" s="34"/>
      <c r="L22" s="34"/>
      <c r="M22" s="34"/>
      <c r="N22" s="34"/>
      <c r="O22" s="23"/>
      <c r="P22" s="34"/>
      <c r="Q22" s="34"/>
      <c r="R22" s="36"/>
    </row>
    <row r="23" spans="1:18" x14ac:dyDescent="0.25">
      <c r="A23" s="110" t="s">
        <v>9</v>
      </c>
      <c r="B23" s="24" t="s">
        <v>61</v>
      </c>
      <c r="C23" s="24" t="s">
        <v>53</v>
      </c>
      <c r="D23" s="24" t="s">
        <v>53</v>
      </c>
      <c r="E23" s="107">
        <v>37865</v>
      </c>
      <c r="F23" s="119">
        <v>6897.88</v>
      </c>
      <c r="G23" s="120">
        <v>6897.88</v>
      </c>
      <c r="H23" s="120">
        <f>344.89+551.83+561.21+112.24</f>
        <v>1570.17</v>
      </c>
      <c r="I23" s="120"/>
      <c r="J23" s="121">
        <v>3637.48</v>
      </c>
      <c r="K23" s="25">
        <f>7794.6-3700.45+56.12</f>
        <v>4150.2700000000004</v>
      </c>
      <c r="L23" s="25">
        <f>951.62+900.82+7.86+329.9</f>
        <v>2190.1999999999998</v>
      </c>
      <c r="M23" s="25">
        <f>1158.29+987.06+13.27+60.38</f>
        <v>2219</v>
      </c>
      <c r="N23" s="25">
        <f>1+172.45+99.24</f>
        <v>272.69</v>
      </c>
      <c r="O23" s="37">
        <f t="shared" si="0"/>
        <v>11573.909999999998</v>
      </c>
      <c r="P23" s="25">
        <f>992.53+128.4</f>
        <v>1120.93</v>
      </c>
      <c r="Q23" s="25">
        <f>68.98</f>
        <v>68.98</v>
      </c>
      <c r="R23" s="25">
        <f t="shared" si="1"/>
        <v>12625.859999999999</v>
      </c>
    </row>
    <row r="24" spans="1:18" x14ac:dyDescent="0.25">
      <c r="A24" s="96" t="s">
        <v>10</v>
      </c>
      <c r="B24" s="13" t="s">
        <v>61</v>
      </c>
      <c r="C24" s="13" t="s">
        <v>49</v>
      </c>
      <c r="D24" s="13" t="s">
        <v>91</v>
      </c>
      <c r="E24" s="14">
        <v>41218</v>
      </c>
      <c r="F24" s="26">
        <v>7826.33</v>
      </c>
      <c r="G24" s="27">
        <v>7826.33</v>
      </c>
      <c r="H24" s="27">
        <f>147.54+29.9+5.98</f>
        <v>183.42</v>
      </c>
      <c r="I24" s="28"/>
      <c r="J24" s="27"/>
      <c r="K24" s="19">
        <f>5319.81-2139.31+2.99</f>
        <v>3183.4900000000002</v>
      </c>
      <c r="L24" s="19">
        <f>930.94+554.35+0.42</f>
        <v>1485.71</v>
      </c>
      <c r="M24" s="19">
        <f>985.81+354.08+0.58</f>
        <v>1340.4699999999998</v>
      </c>
      <c r="N24" s="19">
        <f>1+195.66</f>
        <v>196.66</v>
      </c>
      <c r="O24" s="16">
        <f t="shared" si="0"/>
        <v>8170.4</v>
      </c>
      <c r="P24" s="19">
        <f>992.53+372.4</f>
        <v>1364.9299999999998</v>
      </c>
      <c r="Q24" s="19">
        <f>599+121.28+118+256.45+146.61+78.26</f>
        <v>1319.6000000000001</v>
      </c>
      <c r="R24" s="19">
        <f t="shared" si="1"/>
        <v>8215.73</v>
      </c>
    </row>
    <row r="25" spans="1:18" x14ac:dyDescent="0.25">
      <c r="A25" s="97"/>
      <c r="B25" s="20"/>
      <c r="C25" s="20"/>
      <c r="D25" s="20" t="s">
        <v>72</v>
      </c>
      <c r="E25" s="21"/>
      <c r="F25" s="32"/>
      <c r="G25" s="33"/>
      <c r="H25" s="33"/>
      <c r="I25" s="28"/>
      <c r="J25" s="33"/>
      <c r="K25" s="34"/>
      <c r="L25" s="34"/>
      <c r="M25" s="34"/>
      <c r="N25" s="34"/>
      <c r="O25" s="23"/>
      <c r="P25" s="34"/>
      <c r="Q25" s="34"/>
      <c r="R25" s="34"/>
    </row>
    <row r="26" spans="1:18" x14ac:dyDescent="0.25">
      <c r="A26" s="97" t="s">
        <v>11</v>
      </c>
      <c r="B26" s="20" t="s">
        <v>64</v>
      </c>
      <c r="C26" s="20" t="s">
        <v>50</v>
      </c>
      <c r="D26" s="20" t="s">
        <v>50</v>
      </c>
      <c r="E26" s="21">
        <v>38908</v>
      </c>
      <c r="F26" s="32">
        <v>7221.29</v>
      </c>
      <c r="G26" s="33">
        <v>7221.29</v>
      </c>
      <c r="H26" s="33">
        <f>361.06+577.7+1754.41+350.88</f>
        <v>3044.05</v>
      </c>
      <c r="I26" s="33"/>
      <c r="J26" s="33">
        <v>4202.4399999999996</v>
      </c>
      <c r="K26" s="34">
        <f>8160.05-3873.93+175.44</f>
        <v>4461.5600000000004</v>
      </c>
      <c r="L26" s="34">
        <f>951.62+951.62+397.92</f>
        <v>2301.16</v>
      </c>
      <c r="M26" s="34">
        <f>1600.41+1021.45+48.25+145.13</f>
        <v>2815.2400000000002</v>
      </c>
      <c r="N26" s="122">
        <f>1+132.32</f>
        <v>133.32</v>
      </c>
      <c r="O26" s="37">
        <f t="shared" si="0"/>
        <v>13679.62</v>
      </c>
      <c r="P26" s="34">
        <f>992.53</f>
        <v>992.53</v>
      </c>
      <c r="Q26" s="34">
        <f>295.12+291.97+460.21+24.44+72.21+230.11</f>
        <v>1374.06</v>
      </c>
      <c r="R26" s="25">
        <f t="shared" si="1"/>
        <v>13298.090000000002</v>
      </c>
    </row>
    <row r="27" spans="1:18" x14ac:dyDescent="0.25">
      <c r="A27" s="96" t="s">
        <v>12</v>
      </c>
      <c r="B27" s="13" t="s">
        <v>61</v>
      </c>
      <c r="C27" s="13" t="s">
        <v>49</v>
      </c>
      <c r="D27" s="45" t="s">
        <v>88</v>
      </c>
      <c r="E27" s="14">
        <v>35916</v>
      </c>
      <c r="F27" s="26">
        <v>3965.54</v>
      </c>
      <c r="G27" s="27">
        <v>3965.54</v>
      </c>
      <c r="H27" s="27">
        <f>237.93+198.28+317.24+1336.85</f>
        <v>2090.3000000000002</v>
      </c>
      <c r="I27" s="27"/>
      <c r="J27" s="27"/>
      <c r="K27" s="19">
        <f>4941.8-2240.32</f>
        <v>2701.48</v>
      </c>
      <c r="L27" s="19">
        <f>657.4+501.43</f>
        <v>1158.83</v>
      </c>
      <c r="M27" s="19">
        <f>471.57+238.28</f>
        <v>709.85</v>
      </c>
      <c r="N27" s="19">
        <f>1+99.14</f>
        <v>100.14</v>
      </c>
      <c r="O27" s="16">
        <f t="shared" si="0"/>
        <v>6788.4999999999991</v>
      </c>
      <c r="P27" s="19">
        <f>992.53+186.2</f>
        <v>1178.73</v>
      </c>
      <c r="Q27" s="19">
        <f>798.95+1187.02+327.17+39.66</f>
        <v>2352.7999999999997</v>
      </c>
      <c r="R27" s="19">
        <f t="shared" si="1"/>
        <v>5614.43</v>
      </c>
    </row>
    <row r="28" spans="1:18" x14ac:dyDescent="0.25">
      <c r="A28" s="96" t="s">
        <v>13</v>
      </c>
      <c r="B28" s="13" t="s">
        <v>61</v>
      </c>
      <c r="C28" s="13" t="s">
        <v>54</v>
      </c>
      <c r="D28" s="50" t="s">
        <v>81</v>
      </c>
      <c r="E28" s="14">
        <v>41737</v>
      </c>
      <c r="F28" s="26">
        <v>8305.52</v>
      </c>
      <c r="G28" s="27">
        <v>8305.52</v>
      </c>
      <c r="H28" s="51">
        <f>415.28+830.55+4108.82</f>
        <v>5354.65</v>
      </c>
      <c r="I28" s="52"/>
      <c r="J28" s="27"/>
      <c r="K28" s="19">
        <f>13660.17-6485.09</f>
        <v>7175.08</v>
      </c>
      <c r="L28" s="19">
        <f>951.62+951.62</f>
        <v>1903.24</v>
      </c>
      <c r="M28" s="19">
        <f>2481.85+2481.85</f>
        <v>4963.7</v>
      </c>
      <c r="N28" s="29">
        <f>1</f>
        <v>1</v>
      </c>
      <c r="O28" s="16">
        <f t="shared" si="0"/>
        <v>13967.309999999998</v>
      </c>
      <c r="P28" s="30">
        <f>992.53</f>
        <v>992.53</v>
      </c>
      <c r="Q28" s="29">
        <v>2893.54</v>
      </c>
      <c r="R28" s="19">
        <f t="shared" si="1"/>
        <v>12066.3</v>
      </c>
    </row>
    <row r="29" spans="1:18" x14ac:dyDescent="0.25">
      <c r="A29" s="97"/>
      <c r="B29" s="20"/>
      <c r="C29" s="20"/>
      <c r="D29" s="53" t="s">
        <v>72</v>
      </c>
      <c r="E29" s="21"/>
      <c r="F29" s="32"/>
      <c r="G29" s="33"/>
      <c r="H29" s="54"/>
      <c r="I29" s="55"/>
      <c r="J29" s="33"/>
      <c r="K29" s="34"/>
      <c r="L29" s="34"/>
      <c r="M29" s="34"/>
      <c r="N29" s="35"/>
      <c r="O29" s="16">
        <f t="shared" si="0"/>
        <v>0</v>
      </c>
      <c r="P29" s="36"/>
      <c r="Q29" s="35"/>
      <c r="R29" s="34">
        <f t="shared" si="1"/>
        <v>0</v>
      </c>
    </row>
    <row r="30" spans="1:18" x14ac:dyDescent="0.25">
      <c r="A30" s="100" t="s">
        <v>14</v>
      </c>
      <c r="B30" s="20" t="s">
        <v>61</v>
      </c>
      <c r="C30" s="56" t="s">
        <v>55</v>
      </c>
      <c r="D30" s="56" t="s">
        <v>82</v>
      </c>
      <c r="E30" s="57">
        <v>42559</v>
      </c>
      <c r="F30" s="58">
        <v>5160.6899999999996</v>
      </c>
      <c r="G30" s="59">
        <v>5160.6899999999996</v>
      </c>
      <c r="H30" s="59">
        <v>1336.85</v>
      </c>
      <c r="I30" s="59"/>
      <c r="J30" s="59"/>
      <c r="K30" s="34">
        <f>6497.54-3047.08</f>
        <v>3450.46</v>
      </c>
      <c r="L30" s="34">
        <f>719.23+719.23</f>
        <v>1438.46</v>
      </c>
      <c r="M30" s="34">
        <f>628.17+628.17</f>
        <v>1256.3399999999999</v>
      </c>
      <c r="N30" s="34">
        <f>1+129.02+66.16</f>
        <v>196.18</v>
      </c>
      <c r="O30" s="16">
        <f t="shared" si="0"/>
        <v>7057.02</v>
      </c>
      <c r="P30" s="34">
        <f>992.53+259</f>
        <v>1251.53</v>
      </c>
      <c r="Q30" s="34">
        <f>822+942.81+96.2+51.61</f>
        <v>1912.62</v>
      </c>
      <c r="R30" s="49">
        <f t="shared" si="1"/>
        <v>6395.9300000000012</v>
      </c>
    </row>
    <row r="31" spans="1:18" x14ac:dyDescent="0.25">
      <c r="A31" s="98" t="s">
        <v>15</v>
      </c>
      <c r="B31" s="13" t="s">
        <v>61</v>
      </c>
      <c r="C31" s="13" t="s">
        <v>56</v>
      </c>
      <c r="D31" s="13" t="s">
        <v>56</v>
      </c>
      <c r="E31" s="14">
        <v>36951</v>
      </c>
      <c r="F31" s="38">
        <v>4993.83</v>
      </c>
      <c r="G31" s="38">
        <v>1664.61</v>
      </c>
      <c r="H31" s="38">
        <f>99.88+4248+849.6</f>
        <v>5197.4800000000005</v>
      </c>
      <c r="I31" s="38"/>
      <c r="J31" s="27"/>
      <c r="K31" s="123">
        <f>5293.46-3751.54+424.8</f>
        <v>1966.72</v>
      </c>
      <c r="L31" s="18">
        <f>634.74+550.66+59.48</f>
        <v>1244.8800000000001</v>
      </c>
      <c r="M31" s="18">
        <f>803.79+379.99+116.01</f>
        <v>1299.79</v>
      </c>
      <c r="N31" s="19">
        <v>0</v>
      </c>
      <c r="O31" s="16">
        <f t="shared" si="0"/>
        <v>6284.1399999999994</v>
      </c>
      <c r="P31" s="60"/>
      <c r="Q31" s="29">
        <f>362.15+49.94</f>
        <v>412.09</v>
      </c>
      <c r="R31" s="25">
        <f t="shared" si="1"/>
        <v>5872.0499999999993</v>
      </c>
    </row>
    <row r="32" spans="1:18" x14ac:dyDescent="0.25">
      <c r="A32" s="40"/>
      <c r="B32" s="40"/>
      <c r="C32" s="40"/>
      <c r="D32" s="20"/>
      <c r="E32" s="41"/>
      <c r="F32" s="42"/>
      <c r="G32" s="42"/>
      <c r="H32" s="42"/>
      <c r="I32" s="42"/>
      <c r="J32" s="33"/>
      <c r="K32" s="129"/>
      <c r="L32" s="43"/>
      <c r="M32" s="43"/>
      <c r="N32" s="34"/>
      <c r="O32" s="37">
        <f t="shared" si="0"/>
        <v>0</v>
      </c>
      <c r="P32" s="43"/>
      <c r="Q32" s="35"/>
      <c r="R32" s="34"/>
    </row>
    <row r="33" spans="1:18" x14ac:dyDescent="0.25">
      <c r="A33" s="97" t="s">
        <v>16</v>
      </c>
      <c r="B33" s="20" t="s">
        <v>64</v>
      </c>
      <c r="C33" s="20" t="s">
        <v>49</v>
      </c>
      <c r="D33" s="20" t="s">
        <v>49</v>
      </c>
      <c r="E33" s="21">
        <v>35827</v>
      </c>
      <c r="F33" s="32">
        <v>3965.54</v>
      </c>
      <c r="G33" s="33">
        <v>2643.69</v>
      </c>
      <c r="H33" s="33"/>
      <c r="I33" s="33"/>
      <c r="J33" s="33"/>
      <c r="K33" s="34">
        <f>3965.54-1882.62</f>
        <v>2082.92</v>
      </c>
      <c r="L33" s="34">
        <f>270.13+369.26</f>
        <v>639.39</v>
      </c>
      <c r="M33" s="34">
        <v>109.59</v>
      </c>
      <c r="N33" s="34">
        <f>1+66.16</f>
        <v>67.16</v>
      </c>
      <c r="O33" s="16">
        <f t="shared" si="0"/>
        <v>3910.4700000000007</v>
      </c>
      <c r="P33" s="34">
        <f>992.53</f>
        <v>992.53</v>
      </c>
      <c r="Q33" s="34">
        <f>656.5+39.66</f>
        <v>696.16</v>
      </c>
      <c r="R33" s="25">
        <f t="shared" si="1"/>
        <v>4206.8400000000011</v>
      </c>
    </row>
    <row r="34" spans="1:18" x14ac:dyDescent="0.25">
      <c r="A34" s="99" t="s">
        <v>17</v>
      </c>
      <c r="B34" s="45" t="s">
        <v>61</v>
      </c>
      <c r="C34" s="45" t="s">
        <v>51</v>
      </c>
      <c r="D34" s="45" t="s">
        <v>51</v>
      </c>
      <c r="E34" s="46">
        <v>38831</v>
      </c>
      <c r="F34" s="47">
        <v>3249.65</v>
      </c>
      <c r="G34" s="48">
        <v>3249.65</v>
      </c>
      <c r="H34" s="48">
        <f>779.92+155.98</f>
        <v>935.9</v>
      </c>
      <c r="I34" s="48"/>
      <c r="J34" s="48">
        <v>4332.87</v>
      </c>
      <c r="K34" s="49">
        <f>3249.65-1497.82+77.99</f>
        <v>1829.8200000000002</v>
      </c>
      <c r="L34" s="49">
        <f>395.67+283.36+9.36+416.18</f>
        <v>1104.57</v>
      </c>
      <c r="M34" s="49">
        <f>142.59+16.02+5.85+164.69</f>
        <v>329.15</v>
      </c>
      <c r="N34" s="49">
        <f>1+81.24</f>
        <v>82.24</v>
      </c>
      <c r="O34" s="16">
        <f t="shared" si="0"/>
        <v>8832.2800000000007</v>
      </c>
      <c r="P34" s="49">
        <f>992.53</f>
        <v>992.53</v>
      </c>
      <c r="Q34" s="49">
        <f>701.52+32.5+701.52</f>
        <v>1435.54</v>
      </c>
      <c r="R34" s="19">
        <f t="shared" si="1"/>
        <v>8389.27</v>
      </c>
    </row>
    <row r="35" spans="1:18" x14ac:dyDescent="0.25">
      <c r="A35" s="96" t="s">
        <v>18</v>
      </c>
      <c r="B35" s="13" t="s">
        <v>61</v>
      </c>
      <c r="C35" s="13" t="s">
        <v>54</v>
      </c>
      <c r="D35" s="13" t="s">
        <v>84</v>
      </c>
      <c r="E35" s="14">
        <v>41436</v>
      </c>
      <c r="F35" s="26">
        <v>6416.01</v>
      </c>
      <c r="G35" s="27">
        <v>4277.34</v>
      </c>
      <c r="H35" s="27">
        <f>213.87+342.19+1485.39</f>
        <v>2041.45</v>
      </c>
      <c r="I35" s="48"/>
      <c r="J35" s="27"/>
      <c r="K35" s="19">
        <f>9478.18-4555.99</f>
        <v>4922.1900000000005</v>
      </c>
      <c r="L35" s="19">
        <f>679.09+951.62</f>
        <v>1630.71</v>
      </c>
      <c r="M35" s="19">
        <f>537.91+1331.8</f>
        <v>1869.71</v>
      </c>
      <c r="N35" s="19">
        <f>1+106.93+33.08</f>
        <v>141.01</v>
      </c>
      <c r="O35" s="16">
        <f t="shared" si="0"/>
        <v>7599.55</v>
      </c>
      <c r="P35" s="19">
        <f>992.53+1184</f>
        <v>2176.5299999999997</v>
      </c>
      <c r="Q35" s="19">
        <f>416.14+534.54+96.08+64.16</f>
        <v>1110.92</v>
      </c>
      <c r="R35" s="19">
        <f t="shared" si="1"/>
        <v>8665.16</v>
      </c>
    </row>
    <row r="36" spans="1:18" x14ac:dyDescent="0.25">
      <c r="A36" s="101" t="s">
        <v>92</v>
      </c>
      <c r="B36" s="64" t="s">
        <v>61</v>
      </c>
      <c r="C36" s="64" t="s">
        <v>93</v>
      </c>
      <c r="D36" s="64" t="s">
        <v>94</v>
      </c>
      <c r="E36" s="65">
        <v>45512</v>
      </c>
      <c r="F36" s="66">
        <v>4108.83</v>
      </c>
      <c r="G36" s="51">
        <v>4108.83</v>
      </c>
      <c r="H36" s="27"/>
      <c r="I36" s="67"/>
      <c r="J36" s="51"/>
      <c r="K36" s="19">
        <f>4108.83-1950.64</f>
        <v>2158.1899999999996</v>
      </c>
      <c r="L36" s="19">
        <f>386.46+386.46</f>
        <v>772.92</v>
      </c>
      <c r="M36" s="19">
        <f>131.08+131.08</f>
        <v>262.16000000000003</v>
      </c>
      <c r="N36" s="29">
        <f>1+102.72</f>
        <v>103.72</v>
      </c>
      <c r="O36" s="16">
        <f t="shared" si="0"/>
        <v>5128.2199999999993</v>
      </c>
      <c r="P36" s="30">
        <f>992.53+107.8</f>
        <v>1100.33</v>
      </c>
      <c r="Q36" s="29">
        <f>596.77+244.34</f>
        <v>841.11</v>
      </c>
      <c r="R36" s="19">
        <f t="shared" si="1"/>
        <v>5387.44</v>
      </c>
    </row>
    <row r="37" spans="1:18" x14ac:dyDescent="0.25">
      <c r="A37" s="102"/>
      <c r="B37" s="31"/>
      <c r="C37" s="31"/>
      <c r="D37" s="31" t="s">
        <v>73</v>
      </c>
      <c r="E37" s="68"/>
      <c r="F37" s="69"/>
      <c r="G37" s="54"/>
      <c r="H37" s="33"/>
      <c r="I37" s="67"/>
      <c r="J37" s="54"/>
      <c r="K37" s="34"/>
      <c r="L37" s="34"/>
      <c r="M37" s="34"/>
      <c r="N37" s="35"/>
      <c r="O37" s="16">
        <f t="shared" si="0"/>
        <v>0</v>
      </c>
      <c r="P37" s="36"/>
      <c r="Q37" s="35"/>
      <c r="R37" s="34">
        <f t="shared" si="1"/>
        <v>0</v>
      </c>
    </row>
    <row r="38" spans="1:18" x14ac:dyDescent="0.25">
      <c r="A38" s="110" t="s">
        <v>19</v>
      </c>
      <c r="B38" s="24" t="s">
        <v>64</v>
      </c>
      <c r="C38" s="24" t="s">
        <v>50</v>
      </c>
      <c r="D38" s="24" t="s">
        <v>50</v>
      </c>
      <c r="E38" s="107">
        <v>41708</v>
      </c>
      <c r="F38" s="119">
        <v>8305.52</v>
      </c>
      <c r="G38" s="120">
        <v>8305.52</v>
      </c>
      <c r="H38" s="120">
        <f>664.44+1042.76+208.55</f>
        <v>1915.75</v>
      </c>
      <c r="I38" s="27"/>
      <c r="J38" s="120">
        <v>4484.9799999999996</v>
      </c>
      <c r="K38" s="25">
        <f>8969.96-4258.44+104.28</f>
        <v>4815.7999999999993</v>
      </c>
      <c r="L38" s="25">
        <f>951.62+951.62+437.48</f>
        <v>2340.7200000000003</v>
      </c>
      <c r="M38" s="25">
        <f>1536.15+1192.04+28.68+156.09</f>
        <v>2912.96</v>
      </c>
      <c r="N38" s="25">
        <f>1+165.4</f>
        <v>166.4</v>
      </c>
      <c r="O38" s="16">
        <f t="shared" si="0"/>
        <v>14101.97</v>
      </c>
      <c r="P38" s="25">
        <f>992.53</f>
        <v>992.53</v>
      </c>
      <c r="Q38" s="25">
        <f>1523.06+407.79+83.06</f>
        <v>2013.9099999999999</v>
      </c>
      <c r="R38" s="25">
        <f t="shared" si="1"/>
        <v>13080.59</v>
      </c>
    </row>
    <row r="39" spans="1:18" x14ac:dyDescent="0.25">
      <c r="A39" s="96" t="s">
        <v>106</v>
      </c>
      <c r="B39" s="13" t="s">
        <v>61</v>
      </c>
      <c r="C39" s="13" t="s">
        <v>109</v>
      </c>
      <c r="D39" s="13" t="s">
        <v>108</v>
      </c>
      <c r="E39" s="14">
        <v>45992</v>
      </c>
      <c r="F39" s="26">
        <v>4108.83</v>
      </c>
      <c r="G39" s="27">
        <v>4108.83</v>
      </c>
      <c r="H39" s="27"/>
      <c r="I39" s="28"/>
      <c r="J39" s="27"/>
      <c r="K39" s="19">
        <v>342.4</v>
      </c>
      <c r="L39" s="19">
        <f>386.46+25.68</f>
        <v>412.14</v>
      </c>
      <c r="M39" s="19">
        <v>131.08000000000001</v>
      </c>
      <c r="N39" s="19">
        <f>1+102.72</f>
        <v>103.72</v>
      </c>
      <c r="O39" s="16">
        <f t="shared" si="0"/>
        <v>3804.29</v>
      </c>
      <c r="P39" s="19">
        <f>992.53+313.6</f>
        <v>1306.1300000000001</v>
      </c>
      <c r="Q39" s="19"/>
      <c r="R39" s="19">
        <f t="shared" si="1"/>
        <v>5110.42</v>
      </c>
    </row>
    <row r="40" spans="1:18" x14ac:dyDescent="0.25">
      <c r="A40" s="97"/>
      <c r="B40" s="20"/>
      <c r="C40" s="20"/>
      <c r="D40" s="20" t="s">
        <v>73</v>
      </c>
      <c r="E40" s="21"/>
      <c r="F40" s="32"/>
      <c r="G40" s="33"/>
      <c r="H40" s="33"/>
      <c r="I40" s="28"/>
      <c r="J40" s="33"/>
      <c r="K40" s="34"/>
      <c r="L40" s="34"/>
      <c r="M40" s="34"/>
      <c r="N40" s="34"/>
      <c r="O40" s="23"/>
      <c r="P40" s="34"/>
      <c r="Q40" s="34"/>
      <c r="R40" s="34"/>
    </row>
    <row r="41" spans="1:18" x14ac:dyDescent="0.25">
      <c r="A41" s="100" t="s">
        <v>20</v>
      </c>
      <c r="B41" s="20" t="s">
        <v>61</v>
      </c>
      <c r="C41" s="56" t="s">
        <v>57</v>
      </c>
      <c r="D41" s="56" t="s">
        <v>57</v>
      </c>
      <c r="E41" s="57">
        <v>41830</v>
      </c>
      <c r="F41" s="58">
        <v>8305.52</v>
      </c>
      <c r="G41" s="59">
        <v>8305.52</v>
      </c>
      <c r="H41" s="59">
        <f>415.28+664.44+35.19+7.04</f>
        <v>1121.95</v>
      </c>
      <c r="I41" s="59"/>
      <c r="J41" s="59"/>
      <c r="K41" s="34">
        <f>9385.24-4455.59+3.52</f>
        <v>4933.17</v>
      </c>
      <c r="L41" s="34">
        <f>951.62+951.62</f>
        <v>1903.24</v>
      </c>
      <c r="M41" s="34">
        <f>1265.72+1254.1+0.97</f>
        <v>2520.7899999999995</v>
      </c>
      <c r="N41" s="34">
        <f>1</f>
        <v>1</v>
      </c>
      <c r="O41" s="37">
        <f t="shared" si="0"/>
        <v>9935.6100000000024</v>
      </c>
      <c r="P41" s="34">
        <f>992.53</f>
        <v>992.53</v>
      </c>
      <c r="Q41" s="34">
        <f>673.95+1647.13+131.63+83.06</f>
        <v>2535.77</v>
      </c>
      <c r="R41" s="25">
        <f t="shared" si="1"/>
        <v>8392.3700000000026</v>
      </c>
    </row>
    <row r="42" spans="1:18" x14ac:dyDescent="0.25">
      <c r="A42" s="99" t="s">
        <v>21</v>
      </c>
      <c r="B42" s="45" t="s">
        <v>63</v>
      </c>
      <c r="C42" s="45" t="s">
        <v>50</v>
      </c>
      <c r="D42" s="13" t="s">
        <v>50</v>
      </c>
      <c r="E42" s="46">
        <v>39022</v>
      </c>
      <c r="F42" s="47">
        <v>7221.29</v>
      </c>
      <c r="G42" s="48">
        <v>7221.29</v>
      </c>
      <c r="H42" s="48">
        <f>577.7+1754.77+350.95</f>
        <v>2683.42</v>
      </c>
      <c r="I42" s="48"/>
      <c r="J42" s="48">
        <v>7539.02</v>
      </c>
      <c r="K42" s="49">
        <f>7798.99-3702.52+175.48</f>
        <v>4271.9499999999989</v>
      </c>
      <c r="L42" s="49">
        <f>951.62+901.44+24.56+865.04</f>
        <v>2742.66</v>
      </c>
      <c r="M42" s="49">
        <f>1449.1+883.82+41.5+822.34</f>
        <v>3196.76</v>
      </c>
      <c r="N42" s="49">
        <f>1</f>
        <v>1</v>
      </c>
      <c r="O42" s="16">
        <f t="shared" si="0"/>
        <v>15775.26</v>
      </c>
      <c r="P42" s="49">
        <f>992.53</f>
        <v>992.53</v>
      </c>
      <c r="Q42" s="49">
        <f>72.21</f>
        <v>72.209999999999994</v>
      </c>
      <c r="R42" s="19">
        <f t="shared" si="1"/>
        <v>16695.580000000002</v>
      </c>
    </row>
    <row r="43" spans="1:18" x14ac:dyDescent="0.25">
      <c r="A43" s="98" t="s">
        <v>22</v>
      </c>
      <c r="B43" s="13" t="s">
        <v>61</v>
      </c>
      <c r="C43" s="64" t="s">
        <v>71</v>
      </c>
      <c r="D43" s="13" t="s">
        <v>85</v>
      </c>
      <c r="E43" s="70">
        <v>44565</v>
      </c>
      <c r="F43" s="38">
        <v>8217.64</v>
      </c>
      <c r="G43" s="38">
        <v>8217.64</v>
      </c>
      <c r="H43" s="130">
        <f>30.82+6.16</f>
        <v>36.980000000000004</v>
      </c>
      <c r="I43" s="15"/>
      <c r="J43" s="130"/>
      <c r="K43" s="123">
        <f>8217.64-3901.27+3.08</f>
        <v>4319.4499999999989</v>
      </c>
      <c r="L43" s="18">
        <f>951.62+951.62</f>
        <v>1903.24</v>
      </c>
      <c r="M43" s="18">
        <f>1099.6+1089.43+0.84</f>
        <v>2189.87</v>
      </c>
      <c r="N43" s="39">
        <f>1</f>
        <v>1</v>
      </c>
      <c r="O43" s="16">
        <f t="shared" si="0"/>
        <v>8479.9599999999991</v>
      </c>
      <c r="P43" s="30">
        <f>992.53</f>
        <v>992.53</v>
      </c>
      <c r="Q43" s="134"/>
      <c r="R43" s="19">
        <f t="shared" si="1"/>
        <v>9472.49</v>
      </c>
    </row>
    <row r="44" spans="1:18" x14ac:dyDescent="0.25">
      <c r="A44" s="61"/>
      <c r="B44" s="61"/>
      <c r="C44" s="71"/>
      <c r="D44" s="24" t="s">
        <v>73</v>
      </c>
      <c r="E44" s="72"/>
      <c r="F44" s="62"/>
      <c r="G44" s="62"/>
      <c r="H44" s="136"/>
      <c r="I44" s="73"/>
      <c r="J44" s="136"/>
      <c r="K44" s="124"/>
      <c r="L44" s="63"/>
      <c r="M44" s="63"/>
      <c r="N44" s="74"/>
      <c r="O44" s="37">
        <f t="shared" si="0"/>
        <v>0</v>
      </c>
      <c r="P44" s="75"/>
      <c r="Q44" s="135"/>
      <c r="R44" s="25">
        <f t="shared" si="1"/>
        <v>0</v>
      </c>
    </row>
    <row r="45" spans="1:18" x14ac:dyDescent="0.25">
      <c r="A45" s="103" t="s">
        <v>78</v>
      </c>
      <c r="B45" s="13" t="s">
        <v>61</v>
      </c>
      <c r="C45" s="76" t="s">
        <v>57</v>
      </c>
      <c r="D45" s="50" t="s">
        <v>86</v>
      </c>
      <c r="E45" s="65">
        <v>45475</v>
      </c>
      <c r="F45" s="77">
        <v>8217.64</v>
      </c>
      <c r="G45" s="38">
        <v>8217.64</v>
      </c>
      <c r="H45" s="15"/>
      <c r="I45" s="78"/>
      <c r="J45" s="79"/>
      <c r="K45" s="16">
        <f>8217.64-3901.27</f>
        <v>4316.369999999999</v>
      </c>
      <c r="L45" s="18">
        <f>951.62+951.62</f>
        <v>1903.24</v>
      </c>
      <c r="M45" s="18">
        <f>1089.43+1089.43</f>
        <v>2178.86</v>
      </c>
      <c r="N45" s="39">
        <f>1</f>
        <v>1</v>
      </c>
      <c r="O45" s="16">
        <f t="shared" si="0"/>
        <v>8450.909999999998</v>
      </c>
      <c r="P45" s="30">
        <f>992.53</f>
        <v>992.53</v>
      </c>
      <c r="Q45" s="80"/>
      <c r="R45" s="19">
        <f t="shared" si="1"/>
        <v>9443.4399999999987</v>
      </c>
    </row>
    <row r="46" spans="1:18" x14ac:dyDescent="0.25">
      <c r="A46" s="104"/>
      <c r="B46" s="20"/>
      <c r="C46" s="56"/>
      <c r="D46" s="53" t="s">
        <v>73</v>
      </c>
      <c r="E46" s="68"/>
      <c r="F46" s="81"/>
      <c r="G46" s="42"/>
      <c r="H46" s="22"/>
      <c r="I46" s="82"/>
      <c r="J46" s="83"/>
      <c r="K46" s="23"/>
      <c r="L46" s="43"/>
      <c r="M46" s="43"/>
      <c r="N46" s="44"/>
      <c r="O46" s="23">
        <f t="shared" si="0"/>
        <v>0</v>
      </c>
      <c r="P46" s="36"/>
      <c r="Q46" s="84"/>
      <c r="R46" s="34">
        <f t="shared" si="1"/>
        <v>0</v>
      </c>
    </row>
    <row r="47" spans="1:18" x14ac:dyDescent="0.25">
      <c r="A47" s="97" t="s">
        <v>23</v>
      </c>
      <c r="B47" s="20" t="s">
        <v>61</v>
      </c>
      <c r="C47" s="56" t="s">
        <v>57</v>
      </c>
      <c r="D47" s="56" t="s">
        <v>57</v>
      </c>
      <c r="E47" s="21">
        <v>41730</v>
      </c>
      <c r="F47" s="32">
        <v>8305.52</v>
      </c>
      <c r="G47" s="33">
        <v>8305.52</v>
      </c>
      <c r="H47" s="33">
        <f>415.28+664.44+35.19+7.04</f>
        <v>1121.95</v>
      </c>
      <c r="I47" s="33"/>
      <c r="J47" s="33"/>
      <c r="K47" s="34">
        <f>9385.24-4455.59+3.52</f>
        <v>4933.17</v>
      </c>
      <c r="L47" s="34">
        <f>951.62+951.62</f>
        <v>1903.24</v>
      </c>
      <c r="M47" s="34">
        <f>1422.13+1410.52+0.96</f>
        <v>2833.61</v>
      </c>
      <c r="N47" s="34">
        <f>1</f>
        <v>1</v>
      </c>
      <c r="O47" s="37">
        <f t="shared" si="0"/>
        <v>9622.7900000000009</v>
      </c>
      <c r="P47" s="34">
        <f>992.53</f>
        <v>992.53</v>
      </c>
      <c r="Q47" s="34">
        <f>1003.3</f>
        <v>1003.3</v>
      </c>
      <c r="R47" s="25">
        <f t="shared" si="1"/>
        <v>9612.0200000000023</v>
      </c>
    </row>
    <row r="48" spans="1:18" x14ac:dyDescent="0.25">
      <c r="A48" s="99" t="s">
        <v>24</v>
      </c>
      <c r="B48" s="45" t="s">
        <v>61</v>
      </c>
      <c r="C48" s="45" t="s">
        <v>49</v>
      </c>
      <c r="D48" s="45" t="s">
        <v>49</v>
      </c>
      <c r="E48" s="46">
        <v>41823</v>
      </c>
      <c r="F48" s="47">
        <v>2864.79</v>
      </c>
      <c r="G48" s="48">
        <v>2864.79</v>
      </c>
      <c r="H48" s="48">
        <f>143.24+229.18</f>
        <v>372.42</v>
      </c>
      <c r="I48" s="48"/>
      <c r="J48" s="48">
        <v>2589.77</v>
      </c>
      <c r="K48" s="49">
        <f>3237.21-1536.84</f>
        <v>1700.3700000000001</v>
      </c>
      <c r="L48" s="49">
        <f>281.86+281.86+210.3</f>
        <v>774.02</v>
      </c>
      <c r="M48" s="49">
        <f>15.09+15.09</f>
        <v>30.18</v>
      </c>
      <c r="N48" s="49">
        <f>1+71.62</f>
        <v>72.62</v>
      </c>
      <c r="O48" s="16">
        <f t="shared" si="0"/>
        <v>6650.53</v>
      </c>
      <c r="P48" s="49">
        <f>992.53+76.3</f>
        <v>1068.83</v>
      </c>
      <c r="Q48" s="49">
        <f>28.65</f>
        <v>28.65</v>
      </c>
      <c r="R48" s="19">
        <f t="shared" si="1"/>
        <v>7690.71</v>
      </c>
    </row>
    <row r="49" spans="1:18" x14ac:dyDescent="0.25">
      <c r="A49" s="99" t="s">
        <v>25</v>
      </c>
      <c r="B49" s="45" t="s">
        <v>61</v>
      </c>
      <c r="C49" s="45" t="s">
        <v>50</v>
      </c>
      <c r="D49" s="45" t="s">
        <v>87</v>
      </c>
      <c r="E49" s="46">
        <v>39295</v>
      </c>
      <c r="F49" s="47">
        <v>9628.0400000000009</v>
      </c>
      <c r="G49" s="48">
        <v>9628.0400000000009</v>
      </c>
      <c r="H49" s="48">
        <f>481.4+770.24+1336.85+133.68</f>
        <v>2722.1699999999996</v>
      </c>
      <c r="I49" s="48"/>
      <c r="J49" s="48"/>
      <c r="K49" s="49">
        <f>12431.23-5683.06</f>
        <v>6748.1699999999992</v>
      </c>
      <c r="L49" s="49">
        <f>951.62+951.62</f>
        <v>1903.24</v>
      </c>
      <c r="M49" s="49">
        <f>2173.75+2196.03</f>
        <v>4369.7800000000007</v>
      </c>
      <c r="N49" s="49">
        <f>1</f>
        <v>1</v>
      </c>
      <c r="O49" s="16">
        <f t="shared" si="0"/>
        <v>12824.359999999999</v>
      </c>
      <c r="P49" s="49">
        <f>992.53</f>
        <v>992.53</v>
      </c>
      <c r="Q49" s="49">
        <f>1793.5+413.5+258.99+634.69+135.75+96.28</f>
        <v>3332.71</v>
      </c>
      <c r="R49" s="19">
        <f t="shared" si="1"/>
        <v>10484.18</v>
      </c>
    </row>
    <row r="50" spans="1:18" x14ac:dyDescent="0.25">
      <c r="A50" s="99" t="s">
        <v>26</v>
      </c>
      <c r="B50" s="45" t="s">
        <v>61</v>
      </c>
      <c r="C50" s="45" t="s">
        <v>58</v>
      </c>
      <c r="D50" s="45" t="s">
        <v>58</v>
      </c>
      <c r="E50" s="46">
        <v>35309</v>
      </c>
      <c r="F50" s="47">
        <v>2840.81</v>
      </c>
      <c r="G50" s="48">
        <v>2840.81</v>
      </c>
      <c r="H50" s="48"/>
      <c r="I50" s="48"/>
      <c r="J50" s="48"/>
      <c r="K50" s="49">
        <f>2840.81-1348.66</f>
        <v>1492.1499999999999</v>
      </c>
      <c r="L50" s="49">
        <f>234.3+234.3</f>
        <v>468.6</v>
      </c>
      <c r="M50" s="49">
        <v>0</v>
      </c>
      <c r="N50" s="49">
        <f>1+71.02</f>
        <v>72.02</v>
      </c>
      <c r="O50" s="16">
        <f t="shared" si="0"/>
        <v>3792.34</v>
      </c>
      <c r="P50" s="49">
        <f>992.53+404.7</f>
        <v>1397.23</v>
      </c>
      <c r="Q50" s="49">
        <f>378+236+28.41</f>
        <v>642.41</v>
      </c>
      <c r="R50" s="19">
        <f t="shared" si="1"/>
        <v>4547.16</v>
      </c>
    </row>
    <row r="51" spans="1:18" x14ac:dyDescent="0.25">
      <c r="A51" s="99" t="s">
        <v>27</v>
      </c>
      <c r="B51" s="45" t="s">
        <v>61</v>
      </c>
      <c r="C51" s="45" t="s">
        <v>49</v>
      </c>
      <c r="D51" s="45" t="s">
        <v>60</v>
      </c>
      <c r="E51" s="46">
        <v>35829</v>
      </c>
      <c r="F51" s="47">
        <v>3965.54</v>
      </c>
      <c r="G51" s="48">
        <v>2379.3200000000002</v>
      </c>
      <c r="H51" s="48">
        <v>802.11</v>
      </c>
      <c r="I51" s="48"/>
      <c r="J51" s="48"/>
      <c r="K51" s="49">
        <f>5302.39-2551.05</f>
        <v>2751.34</v>
      </c>
      <c r="L51" s="49">
        <f>383.8+551.91</f>
        <v>935.71</v>
      </c>
      <c r="M51" s="49">
        <f>10.91+382.45</f>
        <v>393.36</v>
      </c>
      <c r="N51" s="49">
        <f>1+59.48</f>
        <v>60.48</v>
      </c>
      <c r="O51" s="16">
        <f t="shared" si="0"/>
        <v>4543.2200000000012</v>
      </c>
      <c r="P51" s="49">
        <f>992.53+137.2</f>
        <v>1129.73</v>
      </c>
      <c r="Q51" s="49">
        <f>661.39+407+432.31+244.34+39.66</f>
        <v>1784.6999999999998</v>
      </c>
      <c r="R51" s="19">
        <f t="shared" si="1"/>
        <v>3888.2500000000009</v>
      </c>
    </row>
    <row r="52" spans="1:18" x14ac:dyDescent="0.25">
      <c r="A52" s="99" t="s">
        <v>28</v>
      </c>
      <c r="B52" s="45" t="s">
        <v>61</v>
      </c>
      <c r="C52" s="45" t="s">
        <v>50</v>
      </c>
      <c r="D52" s="13" t="s">
        <v>50</v>
      </c>
      <c r="E52" s="46">
        <v>41505</v>
      </c>
      <c r="F52" s="47">
        <v>6416.01</v>
      </c>
      <c r="G52" s="48">
        <v>6416.01</v>
      </c>
      <c r="H52" s="48">
        <f>320.8+513.28</f>
        <v>834.07999999999993</v>
      </c>
      <c r="I52" s="48"/>
      <c r="J52" s="48">
        <v>3625.06</v>
      </c>
      <c r="K52" s="49">
        <f>7250.09-3341.69</f>
        <v>3908.4</v>
      </c>
      <c r="L52" s="49">
        <f>824.59+824.59+328.41</f>
        <v>1977.5900000000001</v>
      </c>
      <c r="M52" s="49">
        <f>806.15+806.15+58.52</f>
        <v>1670.82</v>
      </c>
      <c r="N52" s="49">
        <f>1+33.08</f>
        <v>34.08</v>
      </c>
      <c r="O52" s="16">
        <f t="shared" si="0"/>
        <v>11101.06</v>
      </c>
      <c r="P52" s="49">
        <f>992.53</f>
        <v>992.53</v>
      </c>
      <c r="Q52" s="49">
        <f>64.16</f>
        <v>64.16</v>
      </c>
      <c r="R52" s="19">
        <f t="shared" si="1"/>
        <v>12029.43</v>
      </c>
    </row>
    <row r="53" spans="1:18" x14ac:dyDescent="0.25">
      <c r="A53" s="98" t="s">
        <v>29</v>
      </c>
      <c r="B53" s="13" t="s">
        <v>61</v>
      </c>
      <c r="C53" s="64" t="s">
        <v>59</v>
      </c>
      <c r="D53" s="13" t="s">
        <v>89</v>
      </c>
      <c r="E53" s="14">
        <v>44201</v>
      </c>
      <c r="F53" s="38">
        <v>7826.33</v>
      </c>
      <c r="G53" s="38">
        <v>6261.06</v>
      </c>
      <c r="H53" s="130"/>
      <c r="I53" s="15"/>
      <c r="J53" s="130">
        <v>5391.47</v>
      </c>
      <c r="K53" s="123">
        <f>7826.33-3715.5</f>
        <v>4110.83</v>
      </c>
      <c r="L53" s="18">
        <f>787.17+905.27+564.38</f>
        <v>2256.8200000000002</v>
      </c>
      <c r="M53" s="18">
        <f>544.45+942.42+605.72</f>
        <v>2092.59</v>
      </c>
      <c r="N53" s="39">
        <f>1</f>
        <v>1</v>
      </c>
      <c r="O53" s="16">
        <f t="shared" si="0"/>
        <v>11412.95</v>
      </c>
      <c r="P53" s="30">
        <f>992.53+3478.37</f>
        <v>4470.8999999999996</v>
      </c>
      <c r="Q53" s="132">
        <f>316.65+36.65+184.71</f>
        <v>538.01</v>
      </c>
      <c r="R53" s="19">
        <f t="shared" si="1"/>
        <v>15345.84</v>
      </c>
    </row>
    <row r="54" spans="1:18" x14ac:dyDescent="0.25">
      <c r="A54" s="40"/>
      <c r="B54" s="40"/>
      <c r="C54" s="85"/>
      <c r="D54" s="24" t="s">
        <v>73</v>
      </c>
      <c r="E54" s="41"/>
      <c r="F54" s="42"/>
      <c r="G54" s="42"/>
      <c r="H54" s="131"/>
      <c r="I54" s="22"/>
      <c r="J54" s="131"/>
      <c r="K54" s="129"/>
      <c r="L54" s="43"/>
      <c r="M54" s="43"/>
      <c r="N54" s="44"/>
      <c r="O54" s="16">
        <f t="shared" si="0"/>
        <v>0</v>
      </c>
      <c r="P54" s="36"/>
      <c r="Q54" s="133"/>
      <c r="R54" s="34">
        <f t="shared" si="1"/>
        <v>0</v>
      </c>
    </row>
    <row r="55" spans="1:18" x14ac:dyDescent="0.25">
      <c r="A55" s="99" t="s">
        <v>30</v>
      </c>
      <c r="B55" s="45" t="s">
        <v>61</v>
      </c>
      <c r="C55" s="45" t="s">
        <v>49</v>
      </c>
      <c r="D55" s="45" t="s">
        <v>49</v>
      </c>
      <c r="E55" s="46">
        <v>33581</v>
      </c>
      <c r="F55" s="47">
        <v>3965.54</v>
      </c>
      <c r="G55" s="48">
        <v>3965.54</v>
      </c>
      <c r="H55" s="48"/>
      <c r="I55" s="48"/>
      <c r="J55" s="48"/>
      <c r="K55" s="49">
        <f>3965.54-1882.62</f>
        <v>2082.92</v>
      </c>
      <c r="L55" s="49">
        <f>369.26+369.26</f>
        <v>738.52</v>
      </c>
      <c r="M55" s="49">
        <f>109.59+109.59</f>
        <v>219.18</v>
      </c>
      <c r="N55" s="49">
        <f>1+99.14</f>
        <v>100.14</v>
      </c>
      <c r="O55" s="16">
        <f t="shared" si="0"/>
        <v>4990.62</v>
      </c>
      <c r="P55" s="49">
        <f>992.53+186.2</f>
        <v>1178.73</v>
      </c>
      <c r="Q55" s="49">
        <f>701.52+66.96+39.66</f>
        <v>808.14</v>
      </c>
      <c r="R55" s="25">
        <f t="shared" si="1"/>
        <v>5361.21</v>
      </c>
    </row>
    <row r="56" spans="1:18" x14ac:dyDescent="0.25">
      <c r="A56" s="99" t="s">
        <v>31</v>
      </c>
      <c r="B56" s="45" t="s">
        <v>61</v>
      </c>
      <c r="C56" s="45" t="s">
        <v>49</v>
      </c>
      <c r="D56" s="45" t="s">
        <v>80</v>
      </c>
      <c r="E56" s="46">
        <v>35339</v>
      </c>
      <c r="F56" s="47">
        <v>3965.54</v>
      </c>
      <c r="G56" s="48">
        <v>1850.59</v>
      </c>
      <c r="H56" s="48">
        <v>623.86</v>
      </c>
      <c r="I56" s="48"/>
      <c r="J56" s="48"/>
      <c r="K56" s="49">
        <f>5302.39-2551.05</f>
        <v>2751.34</v>
      </c>
      <c r="L56" s="49">
        <f>257.55+551.91</f>
        <v>809.46</v>
      </c>
      <c r="M56" s="49">
        <v>382.45</v>
      </c>
      <c r="N56" s="49">
        <f>1+46.26</f>
        <v>47.26</v>
      </c>
      <c r="O56" s="16">
        <f t="shared" si="0"/>
        <v>3986.62</v>
      </c>
      <c r="P56" s="49">
        <f>992.53+184.3</f>
        <v>1176.83</v>
      </c>
      <c r="Q56" s="49">
        <f>875.99+141.99+195+39.66</f>
        <v>1252.6400000000001</v>
      </c>
      <c r="R56" s="19">
        <f t="shared" si="1"/>
        <v>3910.8099999999995</v>
      </c>
    </row>
    <row r="57" spans="1:18" x14ac:dyDescent="0.25">
      <c r="A57" s="99" t="s">
        <v>32</v>
      </c>
      <c r="B57" s="45" t="s">
        <v>61</v>
      </c>
      <c r="C57" s="45" t="s">
        <v>49</v>
      </c>
      <c r="D57" s="45" t="s">
        <v>49</v>
      </c>
      <c r="E57" s="46">
        <v>31761</v>
      </c>
      <c r="F57" s="47">
        <v>4874.03</v>
      </c>
      <c r="G57" s="48">
        <v>4874.03</v>
      </c>
      <c r="H57" s="48">
        <f>292.44+243.7+142.02+28.4</f>
        <v>706.56</v>
      </c>
      <c r="I57" s="48"/>
      <c r="J57" s="48"/>
      <c r="K57" s="49">
        <f>5410.17-2568.46+14.2</f>
        <v>2855.91</v>
      </c>
      <c r="L57" s="49">
        <f>590.86+567+1.99</f>
        <v>1159.8500000000001</v>
      </c>
      <c r="M57" s="49">
        <f>411.31+371.57+2.79</f>
        <v>785.67</v>
      </c>
      <c r="N57" s="49">
        <f>1+121.85</f>
        <v>122.85</v>
      </c>
      <c r="O57" s="16">
        <f t="shared" si="0"/>
        <v>6368.1299999999992</v>
      </c>
      <c r="P57" s="49">
        <f>992.53+186.2</f>
        <v>1178.73</v>
      </c>
      <c r="Q57" s="49">
        <f>346.36+175.78+67.2+48.74</f>
        <v>638.08000000000004</v>
      </c>
      <c r="R57" s="19">
        <f t="shared" si="1"/>
        <v>6908.7799999999988</v>
      </c>
    </row>
    <row r="58" spans="1:18" x14ac:dyDescent="0.25">
      <c r="A58" s="99" t="s">
        <v>33</v>
      </c>
      <c r="B58" s="45" t="s">
        <v>61</v>
      </c>
      <c r="C58" s="45" t="s">
        <v>49</v>
      </c>
      <c r="D58" s="45" t="s">
        <v>49</v>
      </c>
      <c r="E58" s="46">
        <v>41218</v>
      </c>
      <c r="F58" s="47">
        <v>2950.73</v>
      </c>
      <c r="G58" s="48">
        <v>2950.73</v>
      </c>
      <c r="H58" s="48">
        <f>564.33+112.87</f>
        <v>677.2</v>
      </c>
      <c r="I58" s="48"/>
      <c r="J58" s="48"/>
      <c r="K58" s="49">
        <f>2950.73-1400.84+56.43</f>
        <v>1606.3200000000002</v>
      </c>
      <c r="L58" s="49">
        <f>328.75+247.49+6.77</f>
        <v>583.01</v>
      </c>
      <c r="M58" s="49">
        <v>58.95</v>
      </c>
      <c r="N58" s="49">
        <f>1+73.77</f>
        <v>74.77</v>
      </c>
      <c r="O58" s="16">
        <f t="shared" si="0"/>
        <v>4517.5199999999995</v>
      </c>
      <c r="P58" s="49">
        <f>992.53+186.2</f>
        <v>1178.73</v>
      </c>
      <c r="Q58" s="49">
        <f>395.81+29.51</f>
        <v>425.32</v>
      </c>
      <c r="R58" s="19">
        <f t="shared" si="1"/>
        <v>5270.93</v>
      </c>
    </row>
    <row r="59" spans="1:18" x14ac:dyDescent="0.25">
      <c r="A59" s="99" t="s">
        <v>34</v>
      </c>
      <c r="B59" s="45" t="s">
        <v>61</v>
      </c>
      <c r="C59" s="45" t="s">
        <v>50</v>
      </c>
      <c r="D59" s="45" t="s">
        <v>50</v>
      </c>
      <c r="E59" s="46">
        <v>42982</v>
      </c>
      <c r="F59" s="47">
        <v>5871.61</v>
      </c>
      <c r="G59" s="48">
        <v>5871.61</v>
      </c>
      <c r="H59" s="48">
        <f>293.58+469.73</f>
        <v>763.31</v>
      </c>
      <c r="I59" s="48"/>
      <c r="J59" s="48"/>
      <c r="K59" s="49">
        <f>7370.25-4199.84</f>
        <v>3170.41</v>
      </c>
      <c r="L59" s="49">
        <f>738.47+841.41</f>
        <v>1579.88</v>
      </c>
      <c r="M59" s="49">
        <f>712.79+886.7</f>
        <v>1599.49</v>
      </c>
      <c r="N59" s="49">
        <f>1</f>
        <v>1</v>
      </c>
      <c r="O59" s="16">
        <f t="shared" si="0"/>
        <v>6624.9600000000009</v>
      </c>
      <c r="P59" s="49">
        <f>992.53</f>
        <v>992.53</v>
      </c>
      <c r="Q59" s="49">
        <f>58.72</f>
        <v>58.72</v>
      </c>
      <c r="R59" s="19">
        <f t="shared" si="1"/>
        <v>7558.77</v>
      </c>
    </row>
    <row r="60" spans="1:18" x14ac:dyDescent="0.25">
      <c r="A60" s="99" t="s">
        <v>35</v>
      </c>
      <c r="B60" s="45" t="s">
        <v>61</v>
      </c>
      <c r="C60" s="45" t="s">
        <v>53</v>
      </c>
      <c r="D60" s="45" t="s">
        <v>53</v>
      </c>
      <c r="E60" s="46">
        <v>41823</v>
      </c>
      <c r="F60" s="47">
        <v>4983.3100000000004</v>
      </c>
      <c r="G60" s="48">
        <v>4983.3100000000004</v>
      </c>
      <c r="H60" s="48">
        <f>249.17+398.66+473.02+94.6</f>
        <v>1215.4499999999998</v>
      </c>
      <c r="I60" s="48"/>
      <c r="J60" s="48"/>
      <c r="K60" s="49">
        <f>5631.14-2673.35+47.3</f>
        <v>3005.0900000000006</v>
      </c>
      <c r="L60" s="49">
        <f>677.41+597.94+6.62</f>
        <v>1281.9699999999998</v>
      </c>
      <c r="M60" s="49">
        <f>609.64+472.85+13.01</f>
        <v>1095.5</v>
      </c>
      <c r="N60" s="49">
        <f>1+124.58+33.08</f>
        <v>158.66</v>
      </c>
      <c r="O60" s="16">
        <f t="shared" si="0"/>
        <v>6667.7200000000012</v>
      </c>
      <c r="P60" s="49">
        <f>992.53+147</f>
        <v>1139.53</v>
      </c>
      <c r="Q60" s="49">
        <f>49.83</f>
        <v>49.83</v>
      </c>
      <c r="R60" s="19">
        <f t="shared" si="1"/>
        <v>7757.420000000001</v>
      </c>
    </row>
    <row r="61" spans="1:18" x14ac:dyDescent="0.25">
      <c r="A61" s="99" t="s">
        <v>36</v>
      </c>
      <c r="B61" s="45" t="s">
        <v>61</v>
      </c>
      <c r="C61" s="45" t="s">
        <v>50</v>
      </c>
      <c r="D61" s="13" t="s">
        <v>50</v>
      </c>
      <c r="E61" s="46">
        <v>41708</v>
      </c>
      <c r="F61" s="47">
        <v>6229.13</v>
      </c>
      <c r="G61" s="48">
        <v>6229.13</v>
      </c>
      <c r="H61" s="48">
        <f>311.46+498.33+35.19+7.04</f>
        <v>852.02</v>
      </c>
      <c r="I61" s="48"/>
      <c r="J61" s="48">
        <v>2580.9299999999998</v>
      </c>
      <c r="K61" s="49">
        <f>7038.92-3341.68+3.52</f>
        <v>3700.76</v>
      </c>
      <c r="L61" s="49">
        <v>0</v>
      </c>
      <c r="M61" s="49">
        <f>871.61+859.99+0.97</f>
        <v>1732.57</v>
      </c>
      <c r="N61" s="49">
        <f>1</f>
        <v>1</v>
      </c>
      <c r="O61" s="16">
        <f t="shared" si="0"/>
        <v>11629.27</v>
      </c>
      <c r="P61" s="49">
        <f>992.53</f>
        <v>992.53</v>
      </c>
      <c r="Q61" s="49">
        <f>62.29</f>
        <v>62.29</v>
      </c>
      <c r="R61" s="19">
        <f t="shared" si="1"/>
        <v>12559.51</v>
      </c>
    </row>
    <row r="62" spans="1:18" x14ac:dyDescent="0.25">
      <c r="A62" s="98" t="s">
        <v>37</v>
      </c>
      <c r="B62" s="13" t="s">
        <v>61</v>
      </c>
      <c r="C62" s="64" t="s">
        <v>50</v>
      </c>
      <c r="D62" s="13" t="s">
        <v>90</v>
      </c>
      <c r="E62" s="70">
        <v>36739</v>
      </c>
      <c r="F62" s="38">
        <v>10836.44</v>
      </c>
      <c r="G62" s="38">
        <v>10836.44</v>
      </c>
      <c r="H62" s="38">
        <f>541.82+866.92+3913.16+2605.53+521.11</f>
        <v>8448.5400000000009</v>
      </c>
      <c r="I62" s="38"/>
      <c r="J62" s="38"/>
      <c r="K62" s="123">
        <f>16158.34-7671.07+260.55</f>
        <v>8747.82</v>
      </c>
      <c r="L62" s="19">
        <f>951.62+951.62</f>
        <v>1903.24</v>
      </c>
      <c r="M62" s="18">
        <f>4132.94+3273.12+71.65</f>
        <v>7477.7099999999991</v>
      </c>
      <c r="N62" s="39">
        <f>1</f>
        <v>1</v>
      </c>
      <c r="O62" s="16">
        <f t="shared" si="0"/>
        <v>18650.850000000002</v>
      </c>
      <c r="P62" s="30">
        <f>992.53</f>
        <v>992.53</v>
      </c>
      <c r="Q62" s="39">
        <f>108.36</f>
        <v>108.36</v>
      </c>
      <c r="R62" s="19">
        <f t="shared" si="1"/>
        <v>19535.02</v>
      </c>
    </row>
    <row r="63" spans="1:18" x14ac:dyDescent="0.25">
      <c r="A63" s="40"/>
      <c r="B63" s="40"/>
      <c r="C63" s="85"/>
      <c r="D63" s="20" t="s">
        <v>72</v>
      </c>
      <c r="E63" s="86"/>
      <c r="F63" s="42"/>
      <c r="G63" s="42"/>
      <c r="H63" s="42"/>
      <c r="I63" s="42"/>
      <c r="J63" s="42"/>
      <c r="K63" s="129"/>
      <c r="L63" s="34"/>
      <c r="M63" s="43"/>
      <c r="N63" s="44"/>
      <c r="O63" s="16">
        <f t="shared" si="0"/>
        <v>0</v>
      </c>
      <c r="P63" s="36"/>
      <c r="Q63" s="44"/>
      <c r="R63" s="34">
        <f t="shared" si="1"/>
        <v>0</v>
      </c>
    </row>
    <row r="64" spans="1:18" x14ac:dyDescent="0.25">
      <c r="A64" s="96" t="s">
        <v>38</v>
      </c>
      <c r="B64" s="13" t="s">
        <v>62</v>
      </c>
      <c r="C64" s="13" t="s">
        <v>50</v>
      </c>
      <c r="D64" s="24" t="s">
        <v>50</v>
      </c>
      <c r="E64" s="14">
        <v>36342</v>
      </c>
      <c r="F64" s="26">
        <v>8127.61</v>
      </c>
      <c r="G64" s="27">
        <v>8127.61</v>
      </c>
      <c r="H64" s="27">
        <v>650.21</v>
      </c>
      <c r="I64" s="48"/>
      <c r="J64" s="27">
        <v>8777.82</v>
      </c>
      <c r="K64" s="19">
        <f>8777.82-4167.21</f>
        <v>4610.6099999999997</v>
      </c>
      <c r="L64" s="19">
        <f>951.62+951.62+951.62</f>
        <v>2854.86</v>
      </c>
      <c r="M64" s="19">
        <f>1191.34+1191.34+1191.34</f>
        <v>3574.0199999999995</v>
      </c>
      <c r="N64" s="19">
        <f>1+66.16</f>
        <v>67.16</v>
      </c>
      <c r="O64" s="16">
        <f t="shared" si="0"/>
        <v>15670.21</v>
      </c>
      <c r="P64" s="19">
        <f>992.53</f>
        <v>992.53</v>
      </c>
      <c r="Q64" s="19">
        <f>81.28</f>
        <v>81.28</v>
      </c>
      <c r="R64" s="25">
        <f t="shared" si="1"/>
        <v>16581.46</v>
      </c>
    </row>
    <row r="65" spans="1:18" x14ac:dyDescent="0.25">
      <c r="A65" s="105" t="s">
        <v>98</v>
      </c>
      <c r="B65" s="64" t="s">
        <v>61</v>
      </c>
      <c r="C65" s="88" t="s">
        <v>99</v>
      </c>
      <c r="D65" s="64" t="s">
        <v>100</v>
      </c>
      <c r="E65" s="65">
        <v>45607</v>
      </c>
      <c r="F65" s="66">
        <v>4108.83</v>
      </c>
      <c r="G65" s="51">
        <v>4108.83</v>
      </c>
      <c r="H65" s="27">
        <f>123.26+24.65</f>
        <v>147.91</v>
      </c>
      <c r="I65" s="67"/>
      <c r="J65" s="51">
        <v>4793.6400000000003</v>
      </c>
      <c r="K65" s="29">
        <f>4108.83-1950.64+12.33</f>
        <v>2170.5199999999995</v>
      </c>
      <c r="L65" s="29">
        <f>405.52+386.46+1.48+249.5</f>
        <v>1042.96</v>
      </c>
      <c r="M65" s="29">
        <f>153.27+131.08+1.85+29.1</f>
        <v>315.30000000000007</v>
      </c>
      <c r="N65" s="29">
        <f>1+102.72</f>
        <v>103.72</v>
      </c>
      <c r="O65" s="16">
        <f t="shared" si="0"/>
        <v>9758.9200000000037</v>
      </c>
      <c r="P65" s="117">
        <f>992.53+78.4</f>
        <v>1070.93</v>
      </c>
      <c r="Q65" s="29">
        <v>0</v>
      </c>
      <c r="R65" s="19">
        <f t="shared" ref="R65" si="2">O65+P65-Q65</f>
        <v>10829.850000000004</v>
      </c>
    </row>
    <row r="66" spans="1:18" x14ac:dyDescent="0.25">
      <c r="A66" s="87"/>
      <c r="B66" s="31"/>
      <c r="C66" s="89"/>
      <c r="D66" s="31" t="s">
        <v>73</v>
      </c>
      <c r="E66" s="91"/>
      <c r="F66" s="91"/>
      <c r="G66" s="91"/>
      <c r="H66" s="90"/>
      <c r="I66" s="92"/>
      <c r="J66" s="93"/>
      <c r="K66" s="94"/>
      <c r="L66" s="94"/>
      <c r="M66" s="94"/>
      <c r="N66" s="94"/>
      <c r="O66" s="23">
        <f t="shared" si="0"/>
        <v>0</v>
      </c>
      <c r="P66" s="118"/>
      <c r="Q66" s="94"/>
      <c r="R66" s="95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R67" s="12"/>
    </row>
    <row r="68" spans="1:18" x14ac:dyDescent="0.25">
      <c r="A68" s="4" t="s">
        <v>74</v>
      </c>
      <c r="B68" s="5"/>
      <c r="C68" s="5"/>
      <c r="D68" s="5"/>
      <c r="K68" s="1"/>
      <c r="R68" s="10"/>
    </row>
    <row r="69" spans="1:18" x14ac:dyDescent="0.25">
      <c r="A69" s="4" t="s">
        <v>75</v>
      </c>
      <c r="B69" s="5"/>
      <c r="C69" s="5"/>
      <c r="D69" s="5"/>
      <c r="P69" s="6"/>
    </row>
    <row r="70" spans="1:18" x14ac:dyDescent="0.25">
      <c r="A70" s="4" t="s">
        <v>76</v>
      </c>
      <c r="B70" s="5"/>
      <c r="C70" s="5"/>
      <c r="D70" s="5"/>
      <c r="R70" s="11"/>
    </row>
    <row r="71" spans="1:18" x14ac:dyDescent="0.25">
      <c r="A71" s="4" t="s">
        <v>102</v>
      </c>
      <c r="P71" s="6"/>
      <c r="Q71" s="6"/>
      <c r="R71" s="11"/>
    </row>
    <row r="72" spans="1:18" x14ac:dyDescent="0.25">
      <c r="P72" s="6"/>
      <c r="Q72" s="6"/>
      <c r="R72" s="11"/>
    </row>
    <row r="73" spans="1:18" x14ac:dyDescent="0.25">
      <c r="O73" s="6"/>
      <c r="P73" s="6"/>
      <c r="Q73" s="6"/>
      <c r="R73" s="10"/>
    </row>
    <row r="74" spans="1:18" x14ac:dyDescent="0.25">
      <c r="O74" s="6"/>
      <c r="P74" s="7"/>
      <c r="Q74" s="6"/>
      <c r="R74" s="10"/>
    </row>
    <row r="75" spans="1:18" x14ac:dyDescent="0.25">
      <c r="O75" s="11"/>
      <c r="P75" s="112"/>
      <c r="Q75" s="6"/>
      <c r="R75" s="10"/>
    </row>
    <row r="76" spans="1:18" x14ac:dyDescent="0.25">
      <c r="D76" s="111"/>
      <c r="O76" s="11"/>
      <c r="P76" s="112"/>
      <c r="Q76" s="6"/>
      <c r="R76" s="1"/>
    </row>
    <row r="77" spans="1:18" x14ac:dyDescent="0.25">
      <c r="D77" s="111"/>
      <c r="O77" s="11"/>
      <c r="P77" s="112"/>
      <c r="Q77" s="6"/>
      <c r="R77" s="1"/>
    </row>
    <row r="78" spans="1:18" x14ac:dyDescent="0.25">
      <c r="D78" s="111"/>
      <c r="O78" s="11"/>
      <c r="P78" s="112"/>
      <c r="Q78" s="6"/>
      <c r="R78" s="1"/>
    </row>
    <row r="79" spans="1:18" x14ac:dyDescent="0.25">
      <c r="O79" s="11"/>
      <c r="P79" s="112"/>
      <c r="Q79" s="6"/>
      <c r="R79" s="1"/>
    </row>
    <row r="80" spans="1:18" x14ac:dyDescent="0.25">
      <c r="O80" s="6"/>
      <c r="P80" s="6"/>
      <c r="Q80" s="6"/>
      <c r="R80" s="1"/>
    </row>
    <row r="81" spans="4:20" x14ac:dyDescent="0.25">
      <c r="D81" s="6"/>
      <c r="O81" s="6"/>
      <c r="P81" s="6"/>
      <c r="Q81" s="6"/>
      <c r="R81" s="1"/>
    </row>
    <row r="82" spans="4:20" x14ac:dyDescent="0.25">
      <c r="O82" s="6"/>
      <c r="R82" s="11"/>
    </row>
    <row r="83" spans="4:20" x14ac:dyDescent="0.25">
      <c r="M83" s="6"/>
      <c r="O83" s="6"/>
      <c r="P83" s="1"/>
      <c r="Q83" s="1"/>
      <c r="R83" s="11"/>
    </row>
    <row r="84" spans="4:20" x14ac:dyDescent="0.25">
      <c r="O84" s="6"/>
      <c r="R84" s="11"/>
    </row>
    <row r="85" spans="4:20" x14ac:dyDescent="0.25">
      <c r="O85" s="6"/>
      <c r="R85" s="11"/>
    </row>
    <row r="86" spans="4:20" x14ac:dyDescent="0.25">
      <c r="O86" s="6"/>
      <c r="R86" s="11"/>
      <c r="T86" s="1"/>
    </row>
    <row r="87" spans="4:20" x14ac:dyDescent="0.25">
      <c r="O87" s="6"/>
      <c r="R87" s="10"/>
    </row>
    <row r="88" spans="4:20" x14ac:dyDescent="0.25">
      <c r="O88" s="6"/>
      <c r="R88" s="10"/>
    </row>
    <row r="89" spans="4:20" x14ac:dyDescent="0.25">
      <c r="R89" s="10"/>
    </row>
    <row r="90" spans="4:20" x14ac:dyDescent="0.25">
      <c r="R90" s="10"/>
    </row>
    <row r="91" spans="4:20" x14ac:dyDescent="0.25">
      <c r="R91" s="10"/>
    </row>
    <row r="92" spans="4:20" x14ac:dyDescent="0.25">
      <c r="R92" s="10"/>
    </row>
    <row r="94" spans="4:20" x14ac:dyDescent="0.25">
      <c r="R94" s="1"/>
    </row>
  </sheetData>
  <mergeCells count="17">
    <mergeCell ref="K62:K63"/>
    <mergeCell ref="H53:H54"/>
    <mergeCell ref="J53:J54"/>
    <mergeCell ref="K53:K54"/>
    <mergeCell ref="Q53:Q54"/>
    <mergeCell ref="K43:K44"/>
    <mergeCell ref="J8:K8"/>
    <mergeCell ref="A7:R7"/>
    <mergeCell ref="G8:H8"/>
    <mergeCell ref="L8:M8"/>
    <mergeCell ref="K17:K18"/>
    <mergeCell ref="J17:J18"/>
    <mergeCell ref="H17:H18"/>
    <mergeCell ref="Q43:Q44"/>
    <mergeCell ref="K31:K32"/>
    <mergeCell ref="H43:H44"/>
    <mergeCell ref="J43:J44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2026-01-07T16:09:52Z</dcterms:modified>
</cp:coreProperties>
</file>