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15600" windowHeight="6750" tabRatio="875" activeTab="6"/>
  </bookViews>
  <sheets>
    <sheet name="Lei" sheetId="5" r:id="rId1"/>
    <sheet name="Receita 19_20_21" sheetId="11" r:id="rId2"/>
    <sheet name="Despesa 19_20_21" sheetId="8" r:id="rId3"/>
    <sheet name="Cronograma Previsto" sheetId="12" r:id="rId4"/>
    <sheet name="Cronograma Ajustado" sheetId="13" r:id="rId5"/>
    <sheet name="Cronog Exec 1 trimstre" sheetId="14" r:id="rId6"/>
    <sheet name="Cronograma c superavit" sheetId="15" r:id="rId7"/>
  </sheets>
  <definedNames>
    <definedName name="_xlnm.Print_Area" localSheetId="4">'Cronograma Ajustado'!$B$1:$U$64</definedName>
    <definedName name="_xlnm.Print_Area" localSheetId="3">'Cronograma Previsto'!$B$2:$U$50</definedName>
    <definedName name="_xlnm.Print_Area" localSheetId="2">'Despesa 19_20_21'!$A$1:$AD$142</definedName>
    <definedName name="_xlnm.Print_Area" localSheetId="1">'Receita 19_20_21'!$A$1:$AB$203</definedName>
  </definedNames>
  <calcPr calcId="125725"/>
</workbook>
</file>

<file path=xl/calcChain.xml><?xml version="1.0" encoding="utf-8"?>
<calcChain xmlns="http://schemas.openxmlformats.org/spreadsheetml/2006/main">
  <c r="D39" i="15"/>
  <c r="D36"/>
  <c r="D25"/>
  <c r="D31"/>
  <c r="X44"/>
  <c r="T35"/>
  <c r="U35"/>
  <c r="P35"/>
  <c r="U34"/>
  <c r="S34"/>
  <c r="R34"/>
  <c r="T34" s="1"/>
  <c r="Q34"/>
  <c r="O34"/>
  <c r="N34"/>
  <c r="N31" s="1"/>
  <c r="M34"/>
  <c r="P34" s="1"/>
  <c r="K34"/>
  <c r="J34"/>
  <c r="J31" s="1"/>
  <c r="I34"/>
  <c r="L34" s="1"/>
  <c r="G34"/>
  <c r="F34"/>
  <c r="E34"/>
  <c r="V34" s="1"/>
  <c r="U33"/>
  <c r="S33"/>
  <c r="T33" s="1"/>
  <c r="R33"/>
  <c r="Q33"/>
  <c r="O33"/>
  <c r="N33"/>
  <c r="M33"/>
  <c r="P33" s="1"/>
  <c r="K33"/>
  <c r="L33" s="1"/>
  <c r="J33"/>
  <c r="I33"/>
  <c r="G33"/>
  <c r="G31" s="1"/>
  <c r="F33"/>
  <c r="E33"/>
  <c r="H33" s="1"/>
  <c r="V33"/>
  <c r="C32"/>
  <c r="R32" s="1"/>
  <c r="T30"/>
  <c r="P30"/>
  <c r="C28"/>
  <c r="U28" s="1"/>
  <c r="U27"/>
  <c r="S27"/>
  <c r="R27"/>
  <c r="Q27"/>
  <c r="T27"/>
  <c r="O27"/>
  <c r="N27"/>
  <c r="M27"/>
  <c r="P27" s="1"/>
  <c r="K27"/>
  <c r="J27"/>
  <c r="I27"/>
  <c r="L27"/>
  <c r="G27"/>
  <c r="F27"/>
  <c r="E27"/>
  <c r="V27" s="1"/>
  <c r="C26"/>
  <c r="E26" s="1"/>
  <c r="I26"/>
  <c r="C25"/>
  <c r="S20"/>
  <c r="R20"/>
  <c r="Q20"/>
  <c r="T20" s="1"/>
  <c r="O20"/>
  <c r="N20"/>
  <c r="M20"/>
  <c r="P20" s="1"/>
  <c r="K20"/>
  <c r="J20"/>
  <c r="I20"/>
  <c r="L20" s="1"/>
  <c r="G20"/>
  <c r="F20"/>
  <c r="U20" s="1"/>
  <c r="E20"/>
  <c r="H20" s="1"/>
  <c r="S19"/>
  <c r="R19"/>
  <c r="Q19"/>
  <c r="T19" s="1"/>
  <c r="O19"/>
  <c r="N19"/>
  <c r="M19"/>
  <c r="P19" s="1"/>
  <c r="K19"/>
  <c r="J19"/>
  <c r="I19"/>
  <c r="L19" s="1"/>
  <c r="G19"/>
  <c r="F19"/>
  <c r="E19"/>
  <c r="H19" s="1"/>
  <c r="S18"/>
  <c r="R18"/>
  <c r="Q18"/>
  <c r="T18" s="1"/>
  <c r="O18"/>
  <c r="N18"/>
  <c r="P18" s="1"/>
  <c r="M18"/>
  <c r="K18"/>
  <c r="J18"/>
  <c r="I18"/>
  <c r="L18" s="1"/>
  <c r="G18"/>
  <c r="F18"/>
  <c r="E18"/>
  <c r="U18" s="1"/>
  <c r="C15"/>
  <c r="E14"/>
  <c r="C14"/>
  <c r="I14" s="1"/>
  <c r="L14" s="1"/>
  <c r="C13"/>
  <c r="C6" s="1"/>
  <c r="C21" s="1"/>
  <c r="R12"/>
  <c r="C12"/>
  <c r="F12" s="1"/>
  <c r="N12"/>
  <c r="S11"/>
  <c r="R11"/>
  <c r="Q11"/>
  <c r="T11" s="1"/>
  <c r="O11"/>
  <c r="N11"/>
  <c r="P11" s="1"/>
  <c r="M11"/>
  <c r="K11"/>
  <c r="J11"/>
  <c r="L11" s="1"/>
  <c r="I11"/>
  <c r="G11"/>
  <c r="F11"/>
  <c r="H11" s="1"/>
  <c r="E11"/>
  <c r="S10"/>
  <c r="R10"/>
  <c r="T10" s="1"/>
  <c r="Q10"/>
  <c r="O10"/>
  <c r="N10"/>
  <c r="P10" s="1"/>
  <c r="M10"/>
  <c r="K10"/>
  <c r="J10"/>
  <c r="I10"/>
  <c r="L10" s="1"/>
  <c r="G10"/>
  <c r="F10"/>
  <c r="E10"/>
  <c r="U10" s="1"/>
  <c r="F9"/>
  <c r="C9"/>
  <c r="J9" s="1"/>
  <c r="J8"/>
  <c r="F8"/>
  <c r="F6" s="1"/>
  <c r="F21" s="1"/>
  <c r="C8"/>
  <c r="Q8"/>
  <c r="Q6" s="1"/>
  <c r="Q21" s="1"/>
  <c r="S7"/>
  <c r="R7"/>
  <c r="Q7"/>
  <c r="T7"/>
  <c r="O7"/>
  <c r="N7"/>
  <c r="M7"/>
  <c r="K7"/>
  <c r="J7"/>
  <c r="I7"/>
  <c r="L7" s="1"/>
  <c r="G7"/>
  <c r="G6" s="1"/>
  <c r="G21" s="1"/>
  <c r="G22" s="1"/>
  <c r="F7"/>
  <c r="E7"/>
  <c r="U7" s="1"/>
  <c r="N34" i="14"/>
  <c r="N30"/>
  <c r="N28"/>
  <c r="K33"/>
  <c r="K27"/>
  <c r="H27"/>
  <c r="N27"/>
  <c r="N38"/>
  <c r="H33"/>
  <c r="E27"/>
  <c r="E33"/>
  <c r="N33"/>
  <c r="K7"/>
  <c r="H7"/>
  <c r="H22"/>
  <c r="N16"/>
  <c r="K16"/>
  <c r="H16"/>
  <c r="E16"/>
  <c r="N15"/>
  <c r="N13"/>
  <c r="N10"/>
  <c r="N9"/>
  <c r="E7"/>
  <c r="J36"/>
  <c r="J33" s="1"/>
  <c r="G36"/>
  <c r="D36"/>
  <c r="J35"/>
  <c r="G35"/>
  <c r="G33" s="1"/>
  <c r="D35"/>
  <c r="C34"/>
  <c r="D30"/>
  <c r="C30"/>
  <c r="J29"/>
  <c r="G29"/>
  <c r="D29"/>
  <c r="M29" s="1"/>
  <c r="C28"/>
  <c r="D28"/>
  <c r="D27" s="1"/>
  <c r="J21"/>
  <c r="M21" s="1"/>
  <c r="G21"/>
  <c r="D21"/>
  <c r="J20"/>
  <c r="G20"/>
  <c r="M20" s="1"/>
  <c r="D20"/>
  <c r="J19"/>
  <c r="J16" s="1"/>
  <c r="G19"/>
  <c r="G16" s="1"/>
  <c r="D19"/>
  <c r="C16"/>
  <c r="C15"/>
  <c r="C7" s="1"/>
  <c r="C22" s="1"/>
  <c r="N23" s="1"/>
  <c r="C14"/>
  <c r="C13"/>
  <c r="G13"/>
  <c r="M13" s="1"/>
  <c r="J12"/>
  <c r="G12"/>
  <c r="D12"/>
  <c r="J11"/>
  <c r="M11" s="1"/>
  <c r="G11"/>
  <c r="D11"/>
  <c r="C10"/>
  <c r="J9"/>
  <c r="C9"/>
  <c r="J8"/>
  <c r="M8" s="1"/>
  <c r="G8"/>
  <c r="D8"/>
  <c r="R26" i="13"/>
  <c r="W44"/>
  <c r="T28"/>
  <c r="T25" s="1"/>
  <c r="Q32"/>
  <c r="Q31" s="1"/>
  <c r="I33"/>
  <c r="K33"/>
  <c r="D10" i="12"/>
  <c r="D9" i="14" s="1"/>
  <c r="AA139" i="8"/>
  <c r="Y139"/>
  <c r="W139"/>
  <c r="U139"/>
  <c r="S139"/>
  <c r="Q139"/>
  <c r="Q138"/>
  <c r="O139"/>
  <c r="M139"/>
  <c r="K139"/>
  <c r="I139"/>
  <c r="G139"/>
  <c r="AA137"/>
  <c r="Y137"/>
  <c r="W137"/>
  <c r="W134"/>
  <c r="U137"/>
  <c r="S137"/>
  <c r="Q137"/>
  <c r="O137"/>
  <c r="P137"/>
  <c r="M137"/>
  <c r="K137"/>
  <c r="I137"/>
  <c r="G137"/>
  <c r="E137"/>
  <c r="AA135"/>
  <c r="Y135"/>
  <c r="W135"/>
  <c r="U135"/>
  <c r="S135"/>
  <c r="Q135"/>
  <c r="O135"/>
  <c r="O134"/>
  <c r="M135"/>
  <c r="K135"/>
  <c r="I135"/>
  <c r="G135"/>
  <c r="E139"/>
  <c r="E135"/>
  <c r="C139"/>
  <c r="D139"/>
  <c r="C137"/>
  <c r="C134"/>
  <c r="D134"/>
  <c r="C135"/>
  <c r="AF91"/>
  <c r="X110"/>
  <c r="X108"/>
  <c r="X106"/>
  <c r="V108"/>
  <c r="T108"/>
  <c r="V106"/>
  <c r="T106"/>
  <c r="R106"/>
  <c r="R108"/>
  <c r="P108"/>
  <c r="P106"/>
  <c r="N106"/>
  <c r="N108"/>
  <c r="N110"/>
  <c r="L110"/>
  <c r="L106"/>
  <c r="L108"/>
  <c r="J108"/>
  <c r="J106"/>
  <c r="H106"/>
  <c r="H108"/>
  <c r="F110"/>
  <c r="D110"/>
  <c r="F108"/>
  <c r="D108"/>
  <c r="D106"/>
  <c r="F106"/>
  <c r="D155" i="11"/>
  <c r="AA155"/>
  <c r="Z161"/>
  <c r="Z159"/>
  <c r="Z156"/>
  <c r="Z155"/>
  <c r="AA161"/>
  <c r="AA159"/>
  <c r="AB159"/>
  <c r="AA156"/>
  <c r="X161"/>
  <c r="X159"/>
  <c r="X156"/>
  <c r="X155"/>
  <c r="V161"/>
  <c r="V159"/>
  <c r="V156"/>
  <c r="V155"/>
  <c r="T161"/>
  <c r="R161"/>
  <c r="T159"/>
  <c r="R159"/>
  <c r="T156"/>
  <c r="R156"/>
  <c r="T155"/>
  <c r="R155"/>
  <c r="D161"/>
  <c r="F161"/>
  <c r="H161"/>
  <c r="J161"/>
  <c r="L161"/>
  <c r="N161"/>
  <c r="P161"/>
  <c r="D159"/>
  <c r="F159"/>
  <c r="H159"/>
  <c r="J159"/>
  <c r="L159"/>
  <c r="N159"/>
  <c r="P159"/>
  <c r="D156"/>
  <c r="F156"/>
  <c r="H156"/>
  <c r="J156"/>
  <c r="L156"/>
  <c r="N156"/>
  <c r="P156"/>
  <c r="F155"/>
  <c r="H155"/>
  <c r="J155"/>
  <c r="L155"/>
  <c r="N155"/>
  <c r="P155"/>
  <c r="AC112" i="8"/>
  <c r="AC111"/>
  <c r="AC110"/>
  <c r="AD110"/>
  <c r="AB110"/>
  <c r="Z110"/>
  <c r="V110"/>
  <c r="T110"/>
  <c r="R110"/>
  <c r="P110"/>
  <c r="J110"/>
  <c r="H110"/>
  <c r="AA109"/>
  <c r="Y109"/>
  <c r="W109"/>
  <c r="X109"/>
  <c r="U109"/>
  <c r="S109"/>
  <c r="Q109"/>
  <c r="O109"/>
  <c r="P109"/>
  <c r="M109"/>
  <c r="K109"/>
  <c r="I109"/>
  <c r="G109"/>
  <c r="H109"/>
  <c r="E109"/>
  <c r="C109"/>
  <c r="B109"/>
  <c r="V109"/>
  <c r="AC108"/>
  <c r="AD108"/>
  <c r="AB108"/>
  <c r="Z108"/>
  <c r="AC107"/>
  <c r="AC106"/>
  <c r="AD106"/>
  <c r="AB106"/>
  <c r="Z106"/>
  <c r="AA105"/>
  <c r="AB105"/>
  <c r="Y105"/>
  <c r="Z105"/>
  <c r="W105"/>
  <c r="U105"/>
  <c r="S105"/>
  <c r="T105"/>
  <c r="Q105"/>
  <c r="Q113"/>
  <c r="O105"/>
  <c r="O113"/>
  <c r="N105"/>
  <c r="M105"/>
  <c r="K105"/>
  <c r="L105"/>
  <c r="I105"/>
  <c r="G105"/>
  <c r="E105"/>
  <c r="F105"/>
  <c r="C105"/>
  <c r="D105"/>
  <c r="D113"/>
  <c r="B105"/>
  <c r="AA167" i="11"/>
  <c r="AA166"/>
  <c r="AA165"/>
  <c r="Y162"/>
  <c r="W162"/>
  <c r="U162"/>
  <c r="S162"/>
  <c r="Q162"/>
  <c r="O162"/>
  <c r="M162"/>
  <c r="K162"/>
  <c r="I162"/>
  <c r="G162"/>
  <c r="E162"/>
  <c r="C162"/>
  <c r="AA162"/>
  <c r="B162"/>
  <c r="AB161"/>
  <c r="AB156"/>
  <c r="Y153"/>
  <c r="Y168"/>
  <c r="W153"/>
  <c r="W168"/>
  <c r="U153"/>
  <c r="U168"/>
  <c r="S153"/>
  <c r="Q153"/>
  <c r="Q168"/>
  <c r="O153"/>
  <c r="O168"/>
  <c r="M153"/>
  <c r="M168"/>
  <c r="K153"/>
  <c r="I153"/>
  <c r="I168"/>
  <c r="G153"/>
  <c r="G168"/>
  <c r="E153"/>
  <c r="E168"/>
  <c r="C153"/>
  <c r="C31" i="12"/>
  <c r="B139" i="8"/>
  <c r="B137"/>
  <c r="B135"/>
  <c r="Y196" i="11"/>
  <c r="Y194"/>
  <c r="Y191"/>
  <c r="Y190"/>
  <c r="Z190"/>
  <c r="W196"/>
  <c r="W194"/>
  <c r="W191"/>
  <c r="W190"/>
  <c r="U196"/>
  <c r="U194"/>
  <c r="U191"/>
  <c r="V191"/>
  <c r="U190"/>
  <c r="U188"/>
  <c r="S196"/>
  <c r="S194"/>
  <c r="S191"/>
  <c r="S190"/>
  <c r="Q196"/>
  <c r="Q194"/>
  <c r="Q188"/>
  <c r="Q203"/>
  <c r="Q191"/>
  <c r="Q190"/>
  <c r="O196"/>
  <c r="O194"/>
  <c r="O191"/>
  <c r="O190"/>
  <c r="M196"/>
  <c r="M194"/>
  <c r="N194"/>
  <c r="M191"/>
  <c r="M190"/>
  <c r="K196"/>
  <c r="K194"/>
  <c r="K191"/>
  <c r="K190"/>
  <c r="K188"/>
  <c r="I196"/>
  <c r="I188"/>
  <c r="I194"/>
  <c r="I191"/>
  <c r="I190"/>
  <c r="G196"/>
  <c r="H196"/>
  <c r="G194"/>
  <c r="G191"/>
  <c r="G190"/>
  <c r="H190"/>
  <c r="F10" i="12"/>
  <c r="G8" i="15" s="1"/>
  <c r="F8" i="13"/>
  <c r="E196" i="11"/>
  <c r="E194"/>
  <c r="E191"/>
  <c r="E190"/>
  <c r="C196"/>
  <c r="C194"/>
  <c r="C191"/>
  <c r="C190"/>
  <c r="C188"/>
  <c r="D7" i="13"/>
  <c r="E7"/>
  <c r="F7"/>
  <c r="H7"/>
  <c r="I7"/>
  <c r="K7" s="1"/>
  <c r="J7"/>
  <c r="J6" s="1"/>
  <c r="J21" s="1"/>
  <c r="L7"/>
  <c r="M7"/>
  <c r="N7"/>
  <c r="P7"/>
  <c r="Q7"/>
  <c r="R7"/>
  <c r="C8"/>
  <c r="C9"/>
  <c r="H9" s="1"/>
  <c r="D10"/>
  <c r="E10"/>
  <c r="F10"/>
  <c r="H10"/>
  <c r="I10"/>
  <c r="J10"/>
  <c r="L10"/>
  <c r="M10"/>
  <c r="O10" s="1"/>
  <c r="N10"/>
  <c r="P10"/>
  <c r="Q10"/>
  <c r="R10"/>
  <c r="S10" s="1"/>
  <c r="D11"/>
  <c r="E11"/>
  <c r="F11"/>
  <c r="H11"/>
  <c r="K11" s="1"/>
  <c r="I11"/>
  <c r="J11"/>
  <c r="L11"/>
  <c r="O11" s="1"/>
  <c r="M11"/>
  <c r="N11"/>
  <c r="P11"/>
  <c r="Q11"/>
  <c r="S11" s="1"/>
  <c r="R11"/>
  <c r="C12"/>
  <c r="C13"/>
  <c r="J13" i="15" s="1"/>
  <c r="E13" i="13"/>
  <c r="G13" s="1"/>
  <c r="C14"/>
  <c r="C15"/>
  <c r="D18"/>
  <c r="E18"/>
  <c r="T18" s="1"/>
  <c r="F18"/>
  <c r="H18"/>
  <c r="I18"/>
  <c r="J18"/>
  <c r="K18" s="1"/>
  <c r="L18"/>
  <c r="M18"/>
  <c r="N18"/>
  <c r="P18"/>
  <c r="S18" s="1"/>
  <c r="Q18"/>
  <c r="R18"/>
  <c r="D19"/>
  <c r="E19"/>
  <c r="G19" s="1"/>
  <c r="F19"/>
  <c r="H19"/>
  <c r="I19"/>
  <c r="J19"/>
  <c r="K19" s="1"/>
  <c r="L19"/>
  <c r="M19"/>
  <c r="N19"/>
  <c r="P19"/>
  <c r="S19" s="1"/>
  <c r="Q19"/>
  <c r="R19"/>
  <c r="D20"/>
  <c r="E20"/>
  <c r="G20" s="1"/>
  <c r="F20"/>
  <c r="H20"/>
  <c r="I20"/>
  <c r="J20"/>
  <c r="K20" s="1"/>
  <c r="L20"/>
  <c r="M20"/>
  <c r="N20"/>
  <c r="P20"/>
  <c r="Q20"/>
  <c r="R20"/>
  <c r="C26"/>
  <c r="D27"/>
  <c r="G27" s="1"/>
  <c r="E27"/>
  <c r="F27"/>
  <c r="H27"/>
  <c r="K27" s="1"/>
  <c r="I27"/>
  <c r="J27"/>
  <c r="L27"/>
  <c r="M27"/>
  <c r="M25" s="1"/>
  <c r="N27"/>
  <c r="P27"/>
  <c r="Q27"/>
  <c r="R27"/>
  <c r="S27" s="1"/>
  <c r="T27"/>
  <c r="C28"/>
  <c r="R28" s="1"/>
  <c r="S28" s="1"/>
  <c r="O30"/>
  <c r="S30"/>
  <c r="C32"/>
  <c r="T32" s="1"/>
  <c r="T31" s="1"/>
  <c r="D33"/>
  <c r="E33"/>
  <c r="F33"/>
  <c r="G33" s="1"/>
  <c r="H33"/>
  <c r="J33"/>
  <c r="L33"/>
  <c r="M33"/>
  <c r="O33" s="1"/>
  <c r="N33"/>
  <c r="P33"/>
  <c r="Q33"/>
  <c r="R33"/>
  <c r="S33" s="1"/>
  <c r="T33"/>
  <c r="D34"/>
  <c r="E34"/>
  <c r="F34"/>
  <c r="U34" s="1"/>
  <c r="H34"/>
  <c r="I34"/>
  <c r="J34"/>
  <c r="L34"/>
  <c r="O34" s="1"/>
  <c r="M34"/>
  <c r="N34"/>
  <c r="P34"/>
  <c r="Q34"/>
  <c r="R34"/>
  <c r="T34"/>
  <c r="O35"/>
  <c r="S35"/>
  <c r="T35"/>
  <c r="C8" i="12"/>
  <c r="C23"/>
  <c r="D9"/>
  <c r="T9" s="1"/>
  <c r="E9"/>
  <c r="F9"/>
  <c r="H9"/>
  <c r="I9"/>
  <c r="K9" s="1"/>
  <c r="J9"/>
  <c r="L9"/>
  <c r="M9"/>
  <c r="N9"/>
  <c r="O9" s="1"/>
  <c r="P9"/>
  <c r="Q9"/>
  <c r="R9"/>
  <c r="D12"/>
  <c r="G12" s="1"/>
  <c r="E12"/>
  <c r="F12"/>
  <c r="H12"/>
  <c r="I12"/>
  <c r="K12" s="1"/>
  <c r="J12"/>
  <c r="L12"/>
  <c r="M12"/>
  <c r="N12"/>
  <c r="O12" s="1"/>
  <c r="P12"/>
  <c r="Q12"/>
  <c r="R12"/>
  <c r="S12" s="1"/>
  <c r="D13"/>
  <c r="G13" s="1"/>
  <c r="E13"/>
  <c r="F13"/>
  <c r="F8" s="1"/>
  <c r="F23" s="1"/>
  <c r="F24" s="1"/>
  <c r="H13"/>
  <c r="I13"/>
  <c r="J13"/>
  <c r="L13"/>
  <c r="L8" s="1"/>
  <c r="L23" s="1"/>
  <c r="L24" s="1"/>
  <c r="M13"/>
  <c r="N13"/>
  <c r="P13"/>
  <c r="Q13"/>
  <c r="R13"/>
  <c r="D15"/>
  <c r="E15"/>
  <c r="H15"/>
  <c r="K15" s="1"/>
  <c r="I15"/>
  <c r="J15"/>
  <c r="L15"/>
  <c r="M15"/>
  <c r="O15" s="1"/>
  <c r="N15"/>
  <c r="P15"/>
  <c r="Q15"/>
  <c r="R15"/>
  <c r="S15" s="1"/>
  <c r="C17"/>
  <c r="D20"/>
  <c r="E20"/>
  <c r="G20" s="1"/>
  <c r="F20"/>
  <c r="H20"/>
  <c r="I20"/>
  <c r="J20"/>
  <c r="K20" s="1"/>
  <c r="L20"/>
  <c r="M20"/>
  <c r="N20"/>
  <c r="P20"/>
  <c r="S20" s="1"/>
  <c r="Q20"/>
  <c r="R20"/>
  <c r="D21"/>
  <c r="E21"/>
  <c r="T21" s="1"/>
  <c r="F21"/>
  <c r="H21"/>
  <c r="I21"/>
  <c r="K21"/>
  <c r="J21"/>
  <c r="L21"/>
  <c r="M21"/>
  <c r="N21"/>
  <c r="O21" s="1"/>
  <c r="P21"/>
  <c r="Q21"/>
  <c r="R21"/>
  <c r="D22"/>
  <c r="T22" s="1"/>
  <c r="E22"/>
  <c r="F22"/>
  <c r="H22"/>
  <c r="I22"/>
  <c r="J22"/>
  <c r="L22"/>
  <c r="M22"/>
  <c r="N22"/>
  <c r="O22" s="1"/>
  <c r="P22"/>
  <c r="Q22"/>
  <c r="R22"/>
  <c r="C27"/>
  <c r="C35"/>
  <c r="D29"/>
  <c r="E29"/>
  <c r="F29"/>
  <c r="U29" s="1"/>
  <c r="H29"/>
  <c r="I29"/>
  <c r="J29"/>
  <c r="L29"/>
  <c r="O29" s="1"/>
  <c r="M29"/>
  <c r="N29"/>
  <c r="P29"/>
  <c r="Q29"/>
  <c r="S29" s="1"/>
  <c r="R29"/>
  <c r="T29"/>
  <c r="D33"/>
  <c r="E33"/>
  <c r="E31" s="1"/>
  <c r="F33"/>
  <c r="H33"/>
  <c r="I33"/>
  <c r="J33"/>
  <c r="K33" s="1"/>
  <c r="L33"/>
  <c r="M33"/>
  <c r="N33"/>
  <c r="P33"/>
  <c r="S33" s="1"/>
  <c r="Q33"/>
  <c r="R33"/>
  <c r="T33"/>
  <c r="D34"/>
  <c r="D31" s="1"/>
  <c r="E34"/>
  <c r="F34"/>
  <c r="H34"/>
  <c r="I34"/>
  <c r="J34"/>
  <c r="L34"/>
  <c r="M34"/>
  <c r="N34"/>
  <c r="O34" s="1"/>
  <c r="P34"/>
  <c r="Q34"/>
  <c r="R34"/>
  <c r="T34"/>
  <c r="T31" s="1"/>
  <c r="B6" i="8"/>
  <c r="C6"/>
  <c r="D6"/>
  <c r="E6"/>
  <c r="E14"/>
  <c r="G6"/>
  <c r="I6"/>
  <c r="K6"/>
  <c r="L6"/>
  <c r="M6"/>
  <c r="N6"/>
  <c r="O6"/>
  <c r="Q6"/>
  <c r="S6"/>
  <c r="U6"/>
  <c r="W6"/>
  <c r="X6"/>
  <c r="Y6"/>
  <c r="Y14"/>
  <c r="D7"/>
  <c r="F7"/>
  <c r="H7"/>
  <c r="J7"/>
  <c r="L7"/>
  <c r="N7"/>
  <c r="P7"/>
  <c r="R7"/>
  <c r="T7"/>
  <c r="V7"/>
  <c r="X7"/>
  <c r="Z7"/>
  <c r="AB7"/>
  <c r="AC7"/>
  <c r="AD7"/>
  <c r="AC8"/>
  <c r="D9"/>
  <c r="F9"/>
  <c r="H9"/>
  <c r="J9"/>
  <c r="L9"/>
  <c r="N9"/>
  <c r="P9"/>
  <c r="R9"/>
  <c r="T9"/>
  <c r="V9"/>
  <c r="X9"/>
  <c r="Z9"/>
  <c r="AA9"/>
  <c r="AA6"/>
  <c r="AC9"/>
  <c r="AD9"/>
  <c r="B10"/>
  <c r="B14"/>
  <c r="C10"/>
  <c r="D10"/>
  <c r="E10"/>
  <c r="G10"/>
  <c r="I10"/>
  <c r="J10"/>
  <c r="K10"/>
  <c r="L10"/>
  <c r="M10"/>
  <c r="O10"/>
  <c r="P10"/>
  <c r="Q10"/>
  <c r="R10"/>
  <c r="S10"/>
  <c r="T10"/>
  <c r="U10"/>
  <c r="W10"/>
  <c r="Y10"/>
  <c r="D11"/>
  <c r="F11"/>
  <c r="H11"/>
  <c r="J11"/>
  <c r="L11"/>
  <c r="N11"/>
  <c r="P11"/>
  <c r="R11"/>
  <c r="T11"/>
  <c r="V11"/>
  <c r="X11"/>
  <c r="Z11"/>
  <c r="AA11"/>
  <c r="AA10"/>
  <c r="AB10"/>
  <c r="AC12"/>
  <c r="AC13"/>
  <c r="B21"/>
  <c r="H21"/>
  <c r="C21"/>
  <c r="E21"/>
  <c r="G21"/>
  <c r="I21"/>
  <c r="K21"/>
  <c r="M21"/>
  <c r="O21"/>
  <c r="O29"/>
  <c r="Q21"/>
  <c r="S21"/>
  <c r="U21"/>
  <c r="W21"/>
  <c r="X21"/>
  <c r="Y21"/>
  <c r="D22"/>
  <c r="F22"/>
  <c r="H22"/>
  <c r="J22"/>
  <c r="L22"/>
  <c r="N22"/>
  <c r="P22"/>
  <c r="R22"/>
  <c r="T22"/>
  <c r="V22"/>
  <c r="X22"/>
  <c r="Z22"/>
  <c r="AA22"/>
  <c r="AC22"/>
  <c r="AB22"/>
  <c r="AC23"/>
  <c r="D24"/>
  <c r="F24"/>
  <c r="H24"/>
  <c r="J24"/>
  <c r="L24"/>
  <c r="N24"/>
  <c r="P24"/>
  <c r="R24"/>
  <c r="T24"/>
  <c r="V24"/>
  <c r="X24"/>
  <c r="Z24"/>
  <c r="AA24"/>
  <c r="AC24"/>
  <c r="B25"/>
  <c r="C25"/>
  <c r="E25"/>
  <c r="G25"/>
  <c r="I25"/>
  <c r="I29"/>
  <c r="K25"/>
  <c r="M25"/>
  <c r="O25"/>
  <c r="Q25"/>
  <c r="Q29"/>
  <c r="S25"/>
  <c r="S29"/>
  <c r="U25"/>
  <c r="W25"/>
  <c r="W29"/>
  <c r="Y25"/>
  <c r="Y29"/>
  <c r="AA25"/>
  <c r="D26"/>
  <c r="F26"/>
  <c r="H26"/>
  <c r="J26"/>
  <c r="L26"/>
  <c r="N26"/>
  <c r="P26"/>
  <c r="R26"/>
  <c r="T26"/>
  <c r="V26"/>
  <c r="X26"/>
  <c r="Z26"/>
  <c r="AB26"/>
  <c r="AC26"/>
  <c r="AD26"/>
  <c r="AC27"/>
  <c r="AC28"/>
  <c r="B37"/>
  <c r="C37"/>
  <c r="E37"/>
  <c r="G37"/>
  <c r="I37"/>
  <c r="J37"/>
  <c r="J45"/>
  <c r="K37"/>
  <c r="L37"/>
  <c r="L45"/>
  <c r="M37"/>
  <c r="N37"/>
  <c r="O37"/>
  <c r="Q37"/>
  <c r="R37"/>
  <c r="R45"/>
  <c r="S37"/>
  <c r="U37"/>
  <c r="U45"/>
  <c r="W37"/>
  <c r="Y37"/>
  <c r="AA37"/>
  <c r="AB37"/>
  <c r="AB45"/>
  <c r="D38"/>
  <c r="F38"/>
  <c r="H38"/>
  <c r="J38"/>
  <c r="L38"/>
  <c r="N38"/>
  <c r="P38"/>
  <c r="R38"/>
  <c r="T38"/>
  <c r="V38"/>
  <c r="X38"/>
  <c r="Z38"/>
  <c r="AB38"/>
  <c r="AC38"/>
  <c r="AD38"/>
  <c r="AC39"/>
  <c r="D40"/>
  <c r="F40"/>
  <c r="H40"/>
  <c r="J40"/>
  <c r="L40"/>
  <c r="N40"/>
  <c r="P40"/>
  <c r="R40"/>
  <c r="T40"/>
  <c r="V40"/>
  <c r="X40"/>
  <c r="Z40"/>
  <c r="AB40"/>
  <c r="AC40"/>
  <c r="AD40"/>
  <c r="B41"/>
  <c r="C41"/>
  <c r="E41"/>
  <c r="G41"/>
  <c r="I41"/>
  <c r="I45"/>
  <c r="K41"/>
  <c r="M41"/>
  <c r="N41"/>
  <c r="O41"/>
  <c r="Q41"/>
  <c r="S41"/>
  <c r="U41"/>
  <c r="V41"/>
  <c r="W41"/>
  <c r="Y41"/>
  <c r="AA41"/>
  <c r="AA45"/>
  <c r="D42"/>
  <c r="F42"/>
  <c r="H42"/>
  <c r="J42"/>
  <c r="L42"/>
  <c r="N42"/>
  <c r="P42"/>
  <c r="R42"/>
  <c r="T42"/>
  <c r="V42"/>
  <c r="X42"/>
  <c r="Z42"/>
  <c r="AB42"/>
  <c r="AC42"/>
  <c r="AC139"/>
  <c r="AD139"/>
  <c r="AC43"/>
  <c r="AC140"/>
  <c r="AC44"/>
  <c r="E45"/>
  <c r="Q45"/>
  <c r="Y45"/>
  <c r="B53"/>
  <c r="C53"/>
  <c r="E53"/>
  <c r="G53"/>
  <c r="G61"/>
  <c r="I53"/>
  <c r="K53"/>
  <c r="L53"/>
  <c r="L61"/>
  <c r="M53"/>
  <c r="O53"/>
  <c r="Q53"/>
  <c r="R53"/>
  <c r="R61"/>
  <c r="S53"/>
  <c r="U53"/>
  <c r="W53"/>
  <c r="Y53"/>
  <c r="Z53"/>
  <c r="AA53"/>
  <c r="AB53"/>
  <c r="AB61"/>
  <c r="D54"/>
  <c r="F54"/>
  <c r="H54"/>
  <c r="J54"/>
  <c r="L54"/>
  <c r="N54"/>
  <c r="P54"/>
  <c r="R54"/>
  <c r="T54"/>
  <c r="V54"/>
  <c r="X54"/>
  <c r="Z54"/>
  <c r="AB54"/>
  <c r="AC54"/>
  <c r="AD54"/>
  <c r="AC55"/>
  <c r="AC136"/>
  <c r="D56"/>
  <c r="F56"/>
  <c r="H56"/>
  <c r="J56"/>
  <c r="L56"/>
  <c r="N56"/>
  <c r="P56"/>
  <c r="R56"/>
  <c r="T56"/>
  <c r="V56"/>
  <c r="X56"/>
  <c r="Z56"/>
  <c r="AB56"/>
  <c r="AC56"/>
  <c r="AD56"/>
  <c r="B57"/>
  <c r="C57"/>
  <c r="C61"/>
  <c r="AC61"/>
  <c r="AD61"/>
  <c r="E57"/>
  <c r="E61"/>
  <c r="G57"/>
  <c r="I57"/>
  <c r="K57"/>
  <c r="M57"/>
  <c r="N57"/>
  <c r="N61"/>
  <c r="O57"/>
  <c r="Q57"/>
  <c r="Q61"/>
  <c r="S57"/>
  <c r="S61"/>
  <c r="U57"/>
  <c r="V57"/>
  <c r="V61"/>
  <c r="W57"/>
  <c r="Y57"/>
  <c r="AA57"/>
  <c r="D58"/>
  <c r="F58"/>
  <c r="H58"/>
  <c r="J58"/>
  <c r="L58"/>
  <c r="N58"/>
  <c r="P58"/>
  <c r="R58"/>
  <c r="T58"/>
  <c r="V58"/>
  <c r="X58"/>
  <c r="Z58"/>
  <c r="AB58"/>
  <c r="AC58"/>
  <c r="AD58"/>
  <c r="AC59"/>
  <c r="AC60"/>
  <c r="U61"/>
  <c r="B72"/>
  <c r="C72"/>
  <c r="E72"/>
  <c r="F72"/>
  <c r="G72"/>
  <c r="I72"/>
  <c r="J72"/>
  <c r="K72"/>
  <c r="L72"/>
  <c r="M72"/>
  <c r="O72"/>
  <c r="O80"/>
  <c r="Q72"/>
  <c r="R72"/>
  <c r="S72"/>
  <c r="U72"/>
  <c r="V72"/>
  <c r="W72"/>
  <c r="W80"/>
  <c r="Y72"/>
  <c r="Z72"/>
  <c r="AA72"/>
  <c r="AB72"/>
  <c r="D73"/>
  <c r="F73"/>
  <c r="H73"/>
  <c r="J73"/>
  <c r="L73"/>
  <c r="N73"/>
  <c r="P73"/>
  <c r="R73"/>
  <c r="T73"/>
  <c r="V73"/>
  <c r="X73"/>
  <c r="Z73"/>
  <c r="AB73"/>
  <c r="AC73"/>
  <c r="AD73"/>
  <c r="AC74"/>
  <c r="D75"/>
  <c r="F75"/>
  <c r="H75"/>
  <c r="J75"/>
  <c r="L75"/>
  <c r="N75"/>
  <c r="P75"/>
  <c r="R75"/>
  <c r="T75"/>
  <c r="V75"/>
  <c r="X75"/>
  <c r="Z75"/>
  <c r="AB75"/>
  <c r="AC75"/>
  <c r="AD75"/>
  <c r="B76"/>
  <c r="C76"/>
  <c r="C80"/>
  <c r="E76"/>
  <c r="F76"/>
  <c r="G76"/>
  <c r="I76"/>
  <c r="J76"/>
  <c r="K76"/>
  <c r="K80"/>
  <c r="M76"/>
  <c r="N76"/>
  <c r="O76"/>
  <c r="Q76"/>
  <c r="Q80"/>
  <c r="S76"/>
  <c r="S80"/>
  <c r="U76"/>
  <c r="V76"/>
  <c r="W76"/>
  <c r="X76"/>
  <c r="Y76"/>
  <c r="Z76"/>
  <c r="AA76"/>
  <c r="AA80"/>
  <c r="D77"/>
  <c r="F77"/>
  <c r="H77"/>
  <c r="J77"/>
  <c r="L77"/>
  <c r="N77"/>
  <c r="P77"/>
  <c r="R77"/>
  <c r="T77"/>
  <c r="V77"/>
  <c r="X77"/>
  <c r="Z77"/>
  <c r="AB77"/>
  <c r="AC77"/>
  <c r="AD77"/>
  <c r="AC78"/>
  <c r="AC79"/>
  <c r="B89"/>
  <c r="C89"/>
  <c r="E89"/>
  <c r="F89"/>
  <c r="G89"/>
  <c r="I89"/>
  <c r="K89"/>
  <c r="M89"/>
  <c r="M97"/>
  <c r="N89"/>
  <c r="O89"/>
  <c r="O97"/>
  <c r="Q89"/>
  <c r="R89"/>
  <c r="S89"/>
  <c r="U89"/>
  <c r="V89"/>
  <c r="W89"/>
  <c r="Y89"/>
  <c r="AA89"/>
  <c r="D90"/>
  <c r="F90"/>
  <c r="H90"/>
  <c r="J90"/>
  <c r="L90"/>
  <c r="N90"/>
  <c r="P90"/>
  <c r="R90"/>
  <c r="T90"/>
  <c r="V90"/>
  <c r="X90"/>
  <c r="Z90"/>
  <c r="AB90"/>
  <c r="AC90"/>
  <c r="AD90"/>
  <c r="AC91"/>
  <c r="D92"/>
  <c r="F92"/>
  <c r="H92"/>
  <c r="J92"/>
  <c r="L92"/>
  <c r="N92"/>
  <c r="P92"/>
  <c r="R92"/>
  <c r="T92"/>
  <c r="V92"/>
  <c r="X92"/>
  <c r="Z92"/>
  <c r="AB92"/>
  <c r="AC92"/>
  <c r="AD92"/>
  <c r="B93"/>
  <c r="C93"/>
  <c r="E93"/>
  <c r="G93"/>
  <c r="H93"/>
  <c r="I93"/>
  <c r="K93"/>
  <c r="M93"/>
  <c r="O93"/>
  <c r="P93"/>
  <c r="Q93"/>
  <c r="R93"/>
  <c r="S93"/>
  <c r="T93"/>
  <c r="U93"/>
  <c r="W93"/>
  <c r="Y93"/>
  <c r="Z93"/>
  <c r="AA93"/>
  <c r="AB93"/>
  <c r="D94"/>
  <c r="F94"/>
  <c r="H94"/>
  <c r="J94"/>
  <c r="L94"/>
  <c r="N94"/>
  <c r="P94"/>
  <c r="R94"/>
  <c r="T94"/>
  <c r="V94"/>
  <c r="X94"/>
  <c r="Z94"/>
  <c r="AB94"/>
  <c r="AC94"/>
  <c r="AD94"/>
  <c r="AC95"/>
  <c r="AC96"/>
  <c r="B97"/>
  <c r="E97"/>
  <c r="L135"/>
  <c r="B136"/>
  <c r="C136"/>
  <c r="E136"/>
  <c r="G136"/>
  <c r="I136"/>
  <c r="K136"/>
  <c r="M136"/>
  <c r="O136"/>
  <c r="Q136"/>
  <c r="S136"/>
  <c r="U136"/>
  <c r="W136"/>
  <c r="Y136"/>
  <c r="B140"/>
  <c r="C140"/>
  <c r="C138"/>
  <c r="E140"/>
  <c r="E138"/>
  <c r="G140"/>
  <c r="I140"/>
  <c r="K140"/>
  <c r="M140"/>
  <c r="O140"/>
  <c r="Q140"/>
  <c r="S140"/>
  <c r="S138"/>
  <c r="U140"/>
  <c r="W140"/>
  <c r="Y140"/>
  <c r="AA140"/>
  <c r="B141"/>
  <c r="C141"/>
  <c r="E141"/>
  <c r="G141"/>
  <c r="I141"/>
  <c r="K141"/>
  <c r="M141"/>
  <c r="O141"/>
  <c r="Q141"/>
  <c r="S141"/>
  <c r="U141"/>
  <c r="W141"/>
  <c r="Y141"/>
  <c r="AA141"/>
  <c r="AC141"/>
  <c r="B6" i="11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D8"/>
  <c r="F8"/>
  <c r="H8"/>
  <c r="J8"/>
  <c r="L8"/>
  <c r="N8"/>
  <c r="P8"/>
  <c r="R8"/>
  <c r="T8"/>
  <c r="V8"/>
  <c r="X8"/>
  <c r="Z8"/>
  <c r="AA8"/>
  <c r="AB8"/>
  <c r="D9"/>
  <c r="F9"/>
  <c r="H9"/>
  <c r="J9"/>
  <c r="L9"/>
  <c r="N9"/>
  <c r="P9"/>
  <c r="R9"/>
  <c r="T9"/>
  <c r="V9"/>
  <c r="X9"/>
  <c r="Z9"/>
  <c r="AA9"/>
  <c r="AB9"/>
  <c r="AA10"/>
  <c r="AA11"/>
  <c r="D12"/>
  <c r="J12"/>
  <c r="L12"/>
  <c r="N12"/>
  <c r="P12"/>
  <c r="R12"/>
  <c r="T12"/>
  <c r="V12"/>
  <c r="X12"/>
  <c r="Z12"/>
  <c r="AA12"/>
  <c r="AB12"/>
  <c r="D14"/>
  <c r="J14"/>
  <c r="L14"/>
  <c r="N14"/>
  <c r="P14"/>
  <c r="R14"/>
  <c r="T14"/>
  <c r="V14"/>
  <c r="X14"/>
  <c r="Z14"/>
  <c r="AA14"/>
  <c r="AB14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D18"/>
  <c r="F18"/>
  <c r="H18"/>
  <c r="L18"/>
  <c r="N18"/>
  <c r="P18"/>
  <c r="R18"/>
  <c r="T18"/>
  <c r="V18"/>
  <c r="X18"/>
  <c r="Z18"/>
  <c r="AA18"/>
  <c r="AB18"/>
  <c r="AA19"/>
  <c r="AA20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D30"/>
  <c r="F30"/>
  <c r="H30"/>
  <c r="J30"/>
  <c r="L30"/>
  <c r="N30"/>
  <c r="P30"/>
  <c r="R30"/>
  <c r="T30"/>
  <c r="V30"/>
  <c r="X30"/>
  <c r="Z30"/>
  <c r="AA30"/>
  <c r="AB30"/>
  <c r="D31"/>
  <c r="F31"/>
  <c r="H31"/>
  <c r="J31"/>
  <c r="L31"/>
  <c r="N31"/>
  <c r="P31"/>
  <c r="R31"/>
  <c r="T31"/>
  <c r="V31"/>
  <c r="X31"/>
  <c r="Z31"/>
  <c r="AA31"/>
  <c r="AB31"/>
  <c r="D34"/>
  <c r="F34"/>
  <c r="H34"/>
  <c r="J34"/>
  <c r="L34"/>
  <c r="N34"/>
  <c r="P34"/>
  <c r="R34"/>
  <c r="T34"/>
  <c r="V34"/>
  <c r="X34"/>
  <c r="Z34"/>
  <c r="AA34"/>
  <c r="AB34"/>
  <c r="D36"/>
  <c r="F36"/>
  <c r="H36"/>
  <c r="J36"/>
  <c r="L36"/>
  <c r="N36"/>
  <c r="P36"/>
  <c r="R36"/>
  <c r="T36"/>
  <c r="V36"/>
  <c r="X36"/>
  <c r="Z36"/>
  <c r="AA36"/>
  <c r="AB36"/>
  <c r="B37"/>
  <c r="C37"/>
  <c r="E37"/>
  <c r="G37"/>
  <c r="I37"/>
  <c r="K37"/>
  <c r="M37"/>
  <c r="O37"/>
  <c r="Q37"/>
  <c r="S37"/>
  <c r="U37"/>
  <c r="W37"/>
  <c r="Y37"/>
  <c r="AA37"/>
  <c r="B43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D54"/>
  <c r="F54"/>
  <c r="H54"/>
  <c r="J54"/>
  <c r="L54"/>
  <c r="N54"/>
  <c r="P54"/>
  <c r="R54"/>
  <c r="T54"/>
  <c r="V54"/>
  <c r="X54"/>
  <c r="Z54"/>
  <c r="AA54"/>
  <c r="AB54"/>
  <c r="D55"/>
  <c r="F55"/>
  <c r="H55"/>
  <c r="J55"/>
  <c r="L55"/>
  <c r="N55"/>
  <c r="P55"/>
  <c r="R55"/>
  <c r="T55"/>
  <c r="V55"/>
  <c r="X55"/>
  <c r="Z55"/>
  <c r="AA55"/>
  <c r="AB55"/>
  <c r="D58"/>
  <c r="F58"/>
  <c r="H58"/>
  <c r="J58"/>
  <c r="L58"/>
  <c r="N58"/>
  <c r="P58"/>
  <c r="R58"/>
  <c r="T58"/>
  <c r="V58"/>
  <c r="X58"/>
  <c r="Z58"/>
  <c r="AA58"/>
  <c r="AB58"/>
  <c r="D60"/>
  <c r="F60"/>
  <c r="H60"/>
  <c r="J60"/>
  <c r="L60"/>
  <c r="N60"/>
  <c r="P60"/>
  <c r="R60"/>
  <c r="T60"/>
  <c r="V60"/>
  <c r="X60"/>
  <c r="Z60"/>
  <c r="AA60"/>
  <c r="AB60"/>
  <c r="B61"/>
  <c r="C61"/>
  <c r="AA64"/>
  <c r="AA65"/>
  <c r="AA66"/>
  <c r="B67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B77"/>
  <c r="C77"/>
  <c r="D77"/>
  <c r="D92"/>
  <c r="E77"/>
  <c r="F77"/>
  <c r="F92"/>
  <c r="G77"/>
  <c r="H77"/>
  <c r="H92"/>
  <c r="I77"/>
  <c r="J77"/>
  <c r="K77"/>
  <c r="L77"/>
  <c r="L92"/>
  <c r="M77"/>
  <c r="N77"/>
  <c r="N92"/>
  <c r="O77"/>
  <c r="P77"/>
  <c r="P92"/>
  <c r="Q77"/>
  <c r="R77"/>
  <c r="S77"/>
  <c r="T77"/>
  <c r="T92"/>
  <c r="U77"/>
  <c r="V77"/>
  <c r="V92"/>
  <c r="W77"/>
  <c r="X77"/>
  <c r="X92"/>
  <c r="Y77"/>
  <c r="Z77"/>
  <c r="AA77"/>
  <c r="AB77"/>
  <c r="D79"/>
  <c r="F79"/>
  <c r="H79"/>
  <c r="J79"/>
  <c r="L79"/>
  <c r="N79"/>
  <c r="P79"/>
  <c r="R79"/>
  <c r="T79"/>
  <c r="V79"/>
  <c r="X79"/>
  <c r="Z79"/>
  <c r="AA79"/>
  <c r="AA190"/>
  <c r="AB190"/>
  <c r="D80"/>
  <c r="F80"/>
  <c r="H80"/>
  <c r="J80"/>
  <c r="L80"/>
  <c r="N80"/>
  <c r="P80"/>
  <c r="R80"/>
  <c r="T80"/>
  <c r="V80"/>
  <c r="X80"/>
  <c r="Z80"/>
  <c r="AA80"/>
  <c r="AA191"/>
  <c r="AB191"/>
  <c r="D83"/>
  <c r="F83"/>
  <c r="H83"/>
  <c r="J83"/>
  <c r="L83"/>
  <c r="N83"/>
  <c r="P83"/>
  <c r="R83"/>
  <c r="T83"/>
  <c r="V83"/>
  <c r="X83"/>
  <c r="Z83"/>
  <c r="AA83"/>
  <c r="AA194"/>
  <c r="AB194"/>
  <c r="AB83"/>
  <c r="D85"/>
  <c r="F85"/>
  <c r="H85"/>
  <c r="L85"/>
  <c r="N85"/>
  <c r="P85"/>
  <c r="R85"/>
  <c r="T85"/>
  <c r="V85"/>
  <c r="X85"/>
  <c r="Z85"/>
  <c r="AA85"/>
  <c r="AB85"/>
  <c r="B86"/>
  <c r="C86"/>
  <c r="E86"/>
  <c r="AA86"/>
  <c r="G86"/>
  <c r="I86"/>
  <c r="K86"/>
  <c r="M86"/>
  <c r="M92"/>
  <c r="O86"/>
  <c r="Q86"/>
  <c r="S86"/>
  <c r="U86"/>
  <c r="U92"/>
  <c r="W86"/>
  <c r="Y86"/>
  <c r="AA89"/>
  <c r="AA90"/>
  <c r="AA91"/>
  <c r="B92"/>
  <c r="C92"/>
  <c r="G92"/>
  <c r="I92"/>
  <c r="J92"/>
  <c r="K92"/>
  <c r="O92"/>
  <c r="Q92"/>
  <c r="R92"/>
  <c r="S92"/>
  <c r="W92"/>
  <c r="Y92"/>
  <c r="Z92"/>
  <c r="B105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D105"/>
  <c r="D107"/>
  <c r="F107"/>
  <c r="H107"/>
  <c r="J107"/>
  <c r="L107"/>
  <c r="N107"/>
  <c r="P107"/>
  <c r="R107"/>
  <c r="T107"/>
  <c r="V107"/>
  <c r="X107"/>
  <c r="Z107"/>
  <c r="AA107"/>
  <c r="AB107"/>
  <c r="D108"/>
  <c r="F108"/>
  <c r="H108"/>
  <c r="J108"/>
  <c r="L108"/>
  <c r="N108"/>
  <c r="P108"/>
  <c r="R108"/>
  <c r="T108"/>
  <c r="V108"/>
  <c r="X108"/>
  <c r="Z108"/>
  <c r="AA108"/>
  <c r="AB108"/>
  <c r="D111"/>
  <c r="F111"/>
  <c r="H111"/>
  <c r="J111"/>
  <c r="L111"/>
  <c r="N111"/>
  <c r="P111"/>
  <c r="R111"/>
  <c r="T111"/>
  <c r="V111"/>
  <c r="X111"/>
  <c r="Z111"/>
  <c r="AA111"/>
  <c r="AB111"/>
  <c r="D113"/>
  <c r="F113"/>
  <c r="H113"/>
  <c r="L113"/>
  <c r="N113"/>
  <c r="P113"/>
  <c r="R113"/>
  <c r="T113"/>
  <c r="V113"/>
  <c r="X113"/>
  <c r="Z113"/>
  <c r="AA113"/>
  <c r="AB113"/>
  <c r="AD113"/>
  <c r="B114"/>
  <c r="C114"/>
  <c r="E114"/>
  <c r="G114"/>
  <c r="I114"/>
  <c r="K114"/>
  <c r="M114"/>
  <c r="O114"/>
  <c r="Q114"/>
  <c r="S114"/>
  <c r="U114"/>
  <c r="W114"/>
  <c r="Y114"/>
  <c r="AA114"/>
  <c r="AD116"/>
  <c r="AA117"/>
  <c r="AA118"/>
  <c r="AA119"/>
  <c r="B120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B129"/>
  <c r="H129"/>
  <c r="H144"/>
  <c r="C129"/>
  <c r="E129"/>
  <c r="G129"/>
  <c r="I129"/>
  <c r="K129"/>
  <c r="M129"/>
  <c r="O129"/>
  <c r="Q129"/>
  <c r="S129"/>
  <c r="U129"/>
  <c r="W129"/>
  <c r="Y129"/>
  <c r="AA129"/>
  <c r="D131"/>
  <c r="F131"/>
  <c r="H131"/>
  <c r="J131"/>
  <c r="L131"/>
  <c r="N131"/>
  <c r="P131"/>
  <c r="R131"/>
  <c r="T131"/>
  <c r="V131"/>
  <c r="X131"/>
  <c r="Z131"/>
  <c r="AA131"/>
  <c r="AB131"/>
  <c r="D132"/>
  <c r="F132"/>
  <c r="H132"/>
  <c r="J132"/>
  <c r="L132"/>
  <c r="N132"/>
  <c r="P132"/>
  <c r="R132"/>
  <c r="T132"/>
  <c r="V132"/>
  <c r="X132"/>
  <c r="Z132"/>
  <c r="AA132"/>
  <c r="AB132"/>
  <c r="D135"/>
  <c r="F135"/>
  <c r="H135"/>
  <c r="J135"/>
  <c r="L135"/>
  <c r="N135"/>
  <c r="P135"/>
  <c r="R135"/>
  <c r="T135"/>
  <c r="V135"/>
  <c r="X135"/>
  <c r="Z135"/>
  <c r="AA135"/>
  <c r="AB135"/>
  <c r="C137"/>
  <c r="D137"/>
  <c r="F137"/>
  <c r="H137"/>
  <c r="L137"/>
  <c r="N137"/>
  <c r="P137"/>
  <c r="R137"/>
  <c r="T137"/>
  <c r="V137"/>
  <c r="X137"/>
  <c r="Z137"/>
  <c r="AA137"/>
  <c r="AB137"/>
  <c r="B138"/>
  <c r="C138"/>
  <c r="E138"/>
  <c r="G138"/>
  <c r="I138"/>
  <c r="K138"/>
  <c r="M138"/>
  <c r="O138"/>
  <c r="Q138"/>
  <c r="S138"/>
  <c r="U138"/>
  <c r="W138"/>
  <c r="Y138"/>
  <c r="AA138"/>
  <c r="AA141"/>
  <c r="AA142"/>
  <c r="AA143"/>
  <c r="C144"/>
  <c r="E144"/>
  <c r="G144"/>
  <c r="I144"/>
  <c r="K144"/>
  <c r="M144"/>
  <c r="O144"/>
  <c r="Q144"/>
  <c r="S144"/>
  <c r="U144"/>
  <c r="W144"/>
  <c r="Y144"/>
  <c r="AA144"/>
  <c r="E188"/>
  <c r="S188"/>
  <c r="S203"/>
  <c r="B189"/>
  <c r="Q189"/>
  <c r="W189"/>
  <c r="B190"/>
  <c r="N190"/>
  <c r="J10" i="12"/>
  <c r="K8" i="15" s="1"/>
  <c r="J8" i="13"/>
  <c r="B191" i="11"/>
  <c r="P191"/>
  <c r="R191"/>
  <c r="M11" i="12"/>
  <c r="B194" i="11"/>
  <c r="H194"/>
  <c r="B196"/>
  <c r="T196"/>
  <c r="N196"/>
  <c r="J16" i="12"/>
  <c r="B199" i="11"/>
  <c r="B197"/>
  <c r="C199"/>
  <c r="C197"/>
  <c r="Q201"/>
  <c r="S201"/>
  <c r="U201"/>
  <c r="W201"/>
  <c r="Y201"/>
  <c r="AA201"/>
  <c r="Q202"/>
  <c r="S202"/>
  <c r="U202"/>
  <c r="W202"/>
  <c r="Y202"/>
  <c r="AA202"/>
  <c r="E203"/>
  <c r="Y134" i="8"/>
  <c r="U134"/>
  <c r="R137"/>
  <c r="V139"/>
  <c r="P32" i="12"/>
  <c r="J137" i="8"/>
  <c r="H30" i="12"/>
  <c r="H28" i="13" s="1"/>
  <c r="K28" s="1"/>
  <c r="Z137" i="8"/>
  <c r="R30" i="12"/>
  <c r="N137" i="8"/>
  <c r="J30" i="12"/>
  <c r="K28" i="15" s="1"/>
  <c r="K25" s="1"/>
  <c r="K36" s="1"/>
  <c r="K37" s="1"/>
  <c r="J28" i="13"/>
  <c r="J25"/>
  <c r="F137" i="8"/>
  <c r="E30" i="12"/>
  <c r="H137" i="8"/>
  <c r="F30" i="12"/>
  <c r="U30" s="1"/>
  <c r="X135" i="8"/>
  <c r="Q28" i="12"/>
  <c r="Q134" i="8"/>
  <c r="Y138"/>
  <c r="Z138"/>
  <c r="F93"/>
  <c r="F97"/>
  <c r="W97"/>
  <c r="U80"/>
  <c r="AA61"/>
  <c r="X41"/>
  <c r="O45"/>
  <c r="J21"/>
  <c r="K14"/>
  <c r="I138"/>
  <c r="J138"/>
  <c r="D137"/>
  <c r="D30" i="12"/>
  <c r="E28" i="15" s="1"/>
  <c r="M134" i="8"/>
  <c r="Z89"/>
  <c r="Z97"/>
  <c r="Y80"/>
  <c r="H76"/>
  <c r="K45"/>
  <c r="L21"/>
  <c r="M14"/>
  <c r="D89"/>
  <c r="I80"/>
  <c r="Z21"/>
  <c r="N21"/>
  <c r="S14"/>
  <c r="Y61"/>
  <c r="Z25"/>
  <c r="Z29"/>
  <c r="P21"/>
  <c r="D21"/>
  <c r="O138"/>
  <c r="V137"/>
  <c r="R135"/>
  <c r="M28" i="12"/>
  <c r="H135" i="8"/>
  <c r="F26" i="13"/>
  <c r="F25" s="1"/>
  <c r="N72" i="8"/>
  <c r="AC63"/>
  <c r="M61"/>
  <c r="C45"/>
  <c r="Z37"/>
  <c r="M29"/>
  <c r="R21"/>
  <c r="F21"/>
  <c r="U14"/>
  <c r="P6"/>
  <c r="P14"/>
  <c r="E134"/>
  <c r="J135"/>
  <c r="H26" i="13"/>
  <c r="Q97" i="8"/>
  <c r="X93"/>
  <c r="J93"/>
  <c r="G97"/>
  <c r="E80"/>
  <c r="X57"/>
  <c r="I61"/>
  <c r="O61"/>
  <c r="S45"/>
  <c r="AC25"/>
  <c r="T21"/>
  <c r="G29"/>
  <c r="X10"/>
  <c r="X14"/>
  <c r="T6"/>
  <c r="K138"/>
  <c r="L138"/>
  <c r="U97"/>
  <c r="L93"/>
  <c r="J89"/>
  <c r="K61"/>
  <c r="J53"/>
  <c r="H25"/>
  <c r="H29"/>
  <c r="V21"/>
  <c r="L14"/>
  <c r="T97"/>
  <c r="R97"/>
  <c r="T14"/>
  <c r="L137"/>
  <c r="I28" i="13"/>
  <c r="G138" i="8"/>
  <c r="S134"/>
  <c r="Y97"/>
  <c r="T135"/>
  <c r="N28" i="12"/>
  <c r="O28" s="1"/>
  <c r="K134" i="8"/>
  <c r="AB135"/>
  <c r="AC93"/>
  <c r="AD93"/>
  <c r="AA97"/>
  <c r="S97"/>
  <c r="K97"/>
  <c r="AC89"/>
  <c r="AD89"/>
  <c r="P76"/>
  <c r="AC72"/>
  <c r="AD72"/>
  <c r="R57"/>
  <c r="F53"/>
  <c r="F61"/>
  <c r="R41"/>
  <c r="F37"/>
  <c r="C29"/>
  <c r="F6"/>
  <c r="U138"/>
  <c r="U142"/>
  <c r="M138"/>
  <c r="I97"/>
  <c r="D93"/>
  <c r="AB89"/>
  <c r="AB97"/>
  <c r="T89"/>
  <c r="L89"/>
  <c r="L97"/>
  <c r="R76"/>
  <c r="R80"/>
  <c r="F80"/>
  <c r="F57"/>
  <c r="T53"/>
  <c r="T61"/>
  <c r="F41"/>
  <c r="T37"/>
  <c r="AC37"/>
  <c r="AD37"/>
  <c r="U29"/>
  <c r="Z10"/>
  <c r="H10"/>
  <c r="H6"/>
  <c r="G29" i="12"/>
  <c r="T137" i="8"/>
  <c r="G134"/>
  <c r="N139"/>
  <c r="B138"/>
  <c r="D135"/>
  <c r="I134"/>
  <c r="T72"/>
  <c r="G80"/>
  <c r="AC80"/>
  <c r="H57"/>
  <c r="V53"/>
  <c r="M45"/>
  <c r="H41"/>
  <c r="V37"/>
  <c r="V45"/>
  <c r="K29"/>
  <c r="J25"/>
  <c r="J29"/>
  <c r="C14"/>
  <c r="AB9"/>
  <c r="V6"/>
  <c r="AA136"/>
  <c r="M80"/>
  <c r="V80"/>
  <c r="J57"/>
  <c r="W61"/>
  <c r="J41"/>
  <c r="W45"/>
  <c r="F139"/>
  <c r="AB137"/>
  <c r="Z135"/>
  <c r="X89"/>
  <c r="X97"/>
  <c r="P89"/>
  <c r="P97"/>
  <c r="H89"/>
  <c r="H97"/>
  <c r="Z57"/>
  <c r="Z61"/>
  <c r="N53"/>
  <c r="Z41"/>
  <c r="N80"/>
  <c r="B61"/>
  <c r="B45"/>
  <c r="B46"/>
  <c r="D14"/>
  <c r="W138"/>
  <c r="B80"/>
  <c r="P57"/>
  <c r="AC53"/>
  <c r="AD53"/>
  <c r="P41"/>
  <c r="D37"/>
  <c r="D45"/>
  <c r="R25"/>
  <c r="R29"/>
  <c r="E29"/>
  <c r="AB11"/>
  <c r="Q14"/>
  <c r="G142"/>
  <c r="AA14"/>
  <c r="AB6"/>
  <c r="AB14"/>
  <c r="AC6"/>
  <c r="AD6"/>
  <c r="J61"/>
  <c r="AD24"/>
  <c r="J80"/>
  <c r="F29"/>
  <c r="AD22"/>
  <c r="Z45"/>
  <c r="AC10"/>
  <c r="AD10"/>
  <c r="Z80"/>
  <c r="I28" i="12"/>
  <c r="B134" i="8"/>
  <c r="B142"/>
  <c r="AB76"/>
  <c r="AB80"/>
  <c r="T76"/>
  <c r="T80"/>
  <c r="L76"/>
  <c r="L80"/>
  <c r="D76"/>
  <c r="X72"/>
  <c r="X80"/>
  <c r="P72"/>
  <c r="P80"/>
  <c r="H72"/>
  <c r="H80"/>
  <c r="AB57"/>
  <c r="T57"/>
  <c r="L57"/>
  <c r="D57"/>
  <c r="X53"/>
  <c r="X61"/>
  <c r="P53"/>
  <c r="H53"/>
  <c r="H61"/>
  <c r="AB41"/>
  <c r="T41"/>
  <c r="L41"/>
  <c r="D41"/>
  <c r="X37"/>
  <c r="X45"/>
  <c r="P37"/>
  <c r="H37"/>
  <c r="AC11"/>
  <c r="AD11"/>
  <c r="Z6"/>
  <c r="R6"/>
  <c r="R14"/>
  <c r="J6"/>
  <c r="J14"/>
  <c r="X139"/>
  <c r="Q32" i="12"/>
  <c r="Q31"/>
  <c r="P139" i="8"/>
  <c r="H139"/>
  <c r="V135"/>
  <c r="P28" i="12"/>
  <c r="N135" i="8"/>
  <c r="F135"/>
  <c r="V93"/>
  <c r="V97"/>
  <c r="N93"/>
  <c r="N97"/>
  <c r="AC76"/>
  <c r="AD76"/>
  <c r="AC57"/>
  <c r="AD57"/>
  <c r="G45"/>
  <c r="AC41"/>
  <c r="AD41"/>
  <c r="AB25"/>
  <c r="T25"/>
  <c r="L25"/>
  <c r="L29"/>
  <c r="D25"/>
  <c r="D29"/>
  <c r="W14"/>
  <c r="O14"/>
  <c r="G14"/>
  <c r="V10"/>
  <c r="V14"/>
  <c r="N10"/>
  <c r="N14"/>
  <c r="F10"/>
  <c r="AA21"/>
  <c r="Z139"/>
  <c r="J139"/>
  <c r="H32" i="12"/>
  <c r="AD25" i="8"/>
  <c r="V25"/>
  <c r="V29"/>
  <c r="N25"/>
  <c r="N29"/>
  <c r="F25"/>
  <c r="I14"/>
  <c r="C97"/>
  <c r="AC97"/>
  <c r="AD97"/>
  <c r="D72"/>
  <c r="D53"/>
  <c r="D61"/>
  <c r="AB24"/>
  <c r="T139"/>
  <c r="L139"/>
  <c r="B29"/>
  <c r="X25"/>
  <c r="X29"/>
  <c r="P25"/>
  <c r="P29"/>
  <c r="F28" i="12"/>
  <c r="F27" s="1"/>
  <c r="F35" s="1"/>
  <c r="F36" s="1"/>
  <c r="R196" i="11"/>
  <c r="M14" i="13"/>
  <c r="X196" i="11"/>
  <c r="Q14" i="13"/>
  <c r="D196" i="11"/>
  <c r="D14" i="13"/>
  <c r="T14" s="1"/>
  <c r="Z196" i="11"/>
  <c r="R16" i="12"/>
  <c r="F196" i="11"/>
  <c r="E14" i="13"/>
  <c r="J196" i="11"/>
  <c r="H16" i="12"/>
  <c r="L196" i="11"/>
  <c r="B144"/>
  <c r="AB144"/>
  <c r="R129"/>
  <c r="R144"/>
  <c r="L194"/>
  <c r="I14" i="12"/>
  <c r="J129" i="11"/>
  <c r="J144"/>
  <c r="Z129"/>
  <c r="Z144"/>
  <c r="T191"/>
  <c r="AB129"/>
  <c r="T129"/>
  <c r="T144"/>
  <c r="L129"/>
  <c r="L144"/>
  <c r="D129"/>
  <c r="D144"/>
  <c r="X191"/>
  <c r="Q11" i="12"/>
  <c r="D191" i="11"/>
  <c r="V129"/>
  <c r="V144"/>
  <c r="N129"/>
  <c r="N144"/>
  <c r="F129"/>
  <c r="F144"/>
  <c r="Z191"/>
  <c r="F191"/>
  <c r="E11" i="12"/>
  <c r="H191" i="11"/>
  <c r="X129"/>
  <c r="X144"/>
  <c r="P129"/>
  <c r="P144"/>
  <c r="L191"/>
  <c r="I11" i="12"/>
  <c r="N191" i="11"/>
  <c r="W188"/>
  <c r="V196"/>
  <c r="P16" i="12"/>
  <c r="O188" i="11"/>
  <c r="J14" i="13"/>
  <c r="J11" i="12"/>
  <c r="J8" s="1"/>
  <c r="J23" s="1"/>
  <c r="J24" s="1"/>
  <c r="I16"/>
  <c r="K16" s="1"/>
  <c r="K203" i="11"/>
  <c r="J191"/>
  <c r="E16" i="12"/>
  <c r="T16" s="1"/>
  <c r="D16"/>
  <c r="D11"/>
  <c r="Y142" i="8"/>
  <c r="M30" i="12"/>
  <c r="O30" s="1"/>
  <c r="I142" i="8"/>
  <c r="E32" i="12"/>
  <c r="D28"/>
  <c r="D27" s="1"/>
  <c r="D35" s="1"/>
  <c r="D36" s="1"/>
  <c r="X138" i="8"/>
  <c r="P30" i="12"/>
  <c r="M26" i="13"/>
  <c r="H28" i="12"/>
  <c r="K28" s="1"/>
  <c r="F14" i="8"/>
  <c r="T29"/>
  <c r="P45"/>
  <c r="H138"/>
  <c r="H45"/>
  <c r="P138"/>
  <c r="D97"/>
  <c r="AD80"/>
  <c r="T45"/>
  <c r="J97"/>
  <c r="N138"/>
  <c r="AA134"/>
  <c r="AB134"/>
  <c r="J32" i="12"/>
  <c r="L134" i="8"/>
  <c r="H14"/>
  <c r="F45"/>
  <c r="P61"/>
  <c r="N134"/>
  <c r="N142"/>
  <c r="R134"/>
  <c r="Z14"/>
  <c r="J134"/>
  <c r="R28" i="12"/>
  <c r="S28" s="1"/>
  <c r="S27" s="1"/>
  <c r="I30"/>
  <c r="I27"/>
  <c r="N30"/>
  <c r="N27"/>
  <c r="R32"/>
  <c r="R31"/>
  <c r="L32"/>
  <c r="L31"/>
  <c r="F32"/>
  <c r="F31"/>
  <c r="AC14" i="8"/>
  <c r="AD14"/>
  <c r="Z134"/>
  <c r="T134"/>
  <c r="N32" i="12"/>
  <c r="E28"/>
  <c r="E27" s="1"/>
  <c r="E35" s="1"/>
  <c r="E36" s="1"/>
  <c r="AB139" i="8"/>
  <c r="AA138"/>
  <c r="AB138"/>
  <c r="J28" i="12"/>
  <c r="F134" i="8"/>
  <c r="H134"/>
  <c r="H142"/>
  <c r="D80"/>
  <c r="V134"/>
  <c r="T28" i="12"/>
  <c r="T27" s="1"/>
  <c r="T35" s="1"/>
  <c r="T36" s="1"/>
  <c r="AA29" i="8"/>
  <c r="AC29"/>
  <c r="AD29"/>
  <c r="AB21"/>
  <c r="AB29"/>
  <c r="AC21"/>
  <c r="AD21"/>
  <c r="M16" i="12"/>
  <c r="O16" s="1"/>
  <c r="Q16"/>
  <c r="S16"/>
  <c r="R11"/>
  <c r="N11"/>
  <c r="W203" i="11"/>
  <c r="P14" i="13"/>
  <c r="O203" i="11"/>
  <c r="H11" i="12"/>
  <c r="K11" s="1"/>
  <c r="T32"/>
  <c r="P28" i="13"/>
  <c r="E28"/>
  <c r="G28" s="1"/>
  <c r="E26"/>
  <c r="J26"/>
  <c r="N28"/>
  <c r="N25"/>
  <c r="T26"/>
  <c r="D9"/>
  <c r="I14"/>
  <c r="P13"/>
  <c r="H13"/>
  <c r="E9"/>
  <c r="Q13"/>
  <c r="I13"/>
  <c r="R13"/>
  <c r="S13" s="1"/>
  <c r="J13"/>
  <c r="Q26"/>
  <c r="J9"/>
  <c r="M28"/>
  <c r="I26"/>
  <c r="I25"/>
  <c r="C25"/>
  <c r="L13"/>
  <c r="O13"/>
  <c r="D26"/>
  <c r="U26" s="1"/>
  <c r="M13"/>
  <c r="D13"/>
  <c r="Q9"/>
  <c r="N13"/>
  <c r="S13" i="12"/>
  <c r="AC45" i="8"/>
  <c r="AD45"/>
  <c r="T138"/>
  <c r="S142"/>
  <c r="N45"/>
  <c r="E142"/>
  <c r="F138"/>
  <c r="F142"/>
  <c r="I32" i="12"/>
  <c r="I31" s="1"/>
  <c r="I35" s="1"/>
  <c r="I36" s="1"/>
  <c r="P26" i="13"/>
  <c r="P25" s="1"/>
  <c r="V138" i="8"/>
  <c r="V142"/>
  <c r="T30" i="12"/>
  <c r="K142" i="8"/>
  <c r="AD42"/>
  <c r="N26" i="13"/>
  <c r="AC137" i="8"/>
  <c r="AD137"/>
  <c r="AC135"/>
  <c r="AD135"/>
  <c r="H105"/>
  <c r="P105"/>
  <c r="P113"/>
  <c r="X105"/>
  <c r="D109"/>
  <c r="L109"/>
  <c r="T109"/>
  <c r="AB109"/>
  <c r="J109"/>
  <c r="R109"/>
  <c r="Z109"/>
  <c r="C113"/>
  <c r="K113"/>
  <c r="S113"/>
  <c r="AA113"/>
  <c r="B113"/>
  <c r="J105"/>
  <c r="R105"/>
  <c r="R113"/>
  <c r="F109"/>
  <c r="N109"/>
  <c r="N113"/>
  <c r="K34" i="12"/>
  <c r="O33"/>
  <c r="G33"/>
  <c r="U34"/>
  <c r="K29"/>
  <c r="S34" i="13"/>
  <c r="K34"/>
  <c r="S34" i="12"/>
  <c r="U33"/>
  <c r="S21"/>
  <c r="S22"/>
  <c r="S9"/>
  <c r="G7" i="13"/>
  <c r="AA188" i="11"/>
  <c r="C203"/>
  <c r="N14" i="13"/>
  <c r="N16" i="12"/>
  <c r="I203" i="11"/>
  <c r="J14" i="12"/>
  <c r="J12" i="13"/>
  <c r="P11" i="12"/>
  <c r="S11"/>
  <c r="U203" i="11"/>
  <c r="R10" i="12"/>
  <c r="R8" i="13"/>
  <c r="L9"/>
  <c r="L11" i="12"/>
  <c r="F12" i="13"/>
  <c r="F14" i="12"/>
  <c r="G14" s="1"/>
  <c r="F14" i="13"/>
  <c r="F16" i="12"/>
  <c r="G188" i="11"/>
  <c r="P194"/>
  <c r="H14" i="13"/>
  <c r="V194" i="11"/>
  <c r="P190"/>
  <c r="D190"/>
  <c r="AA196"/>
  <c r="AB196"/>
  <c r="I12" i="13"/>
  <c r="F190" i="11"/>
  <c r="E10" i="12"/>
  <c r="G9" i="14" s="1"/>
  <c r="G7" s="1"/>
  <c r="R190" i="11"/>
  <c r="E92"/>
  <c r="AA92"/>
  <c r="AB92"/>
  <c r="AB80"/>
  <c r="F11" i="12"/>
  <c r="G11"/>
  <c r="M188" i="11"/>
  <c r="R194"/>
  <c r="Z194"/>
  <c r="X194"/>
  <c r="T190"/>
  <c r="V190"/>
  <c r="Y188"/>
  <c r="AB79"/>
  <c r="R14" i="13"/>
  <c r="F194" i="11"/>
  <c r="D194"/>
  <c r="X190"/>
  <c r="J190"/>
  <c r="H10" i="12"/>
  <c r="K10" s="1"/>
  <c r="J194" i="11"/>
  <c r="P196"/>
  <c r="L190"/>
  <c r="I10" i="12"/>
  <c r="I8" i="13"/>
  <c r="B188" i="11"/>
  <c r="D188"/>
  <c r="D203"/>
  <c r="T194"/>
  <c r="C168"/>
  <c r="S168"/>
  <c r="S7" i="13"/>
  <c r="O20" i="12"/>
  <c r="T19" i="13"/>
  <c r="O18"/>
  <c r="K22" i="12"/>
  <c r="K13" i="13"/>
  <c r="T10"/>
  <c r="S14"/>
  <c r="T13" i="12"/>
  <c r="O20" i="13"/>
  <c r="K10"/>
  <c r="G21" i="12"/>
  <c r="S20" i="13"/>
  <c r="O7"/>
  <c r="T12" i="12"/>
  <c r="O19" i="13"/>
  <c r="G22" i="12"/>
  <c r="G15"/>
  <c r="G10" i="13"/>
  <c r="T7"/>
  <c r="T20" i="12"/>
  <c r="G11" i="13"/>
  <c r="K13" i="12"/>
  <c r="O11"/>
  <c r="T11"/>
  <c r="P14"/>
  <c r="P12" i="13"/>
  <c r="N12"/>
  <c r="N14" i="12"/>
  <c r="M8" i="13"/>
  <c r="M10" i="12"/>
  <c r="P10"/>
  <c r="P8"/>
  <c r="P23" s="1"/>
  <c r="P24" s="1"/>
  <c r="P8" i="13"/>
  <c r="L8"/>
  <c r="L6" s="1"/>
  <c r="L21" s="1"/>
  <c r="L10" i="12"/>
  <c r="J188" i="11"/>
  <c r="J203"/>
  <c r="R14" i="12"/>
  <c r="R12" i="13"/>
  <c r="Q12"/>
  <c r="S12" s="1"/>
  <c r="Q14" i="12"/>
  <c r="S14" s="1"/>
  <c r="H14"/>
  <c r="K14"/>
  <c r="H12" i="13"/>
  <c r="K12"/>
  <c r="Y203" i="11"/>
  <c r="Z188"/>
  <c r="Z203"/>
  <c r="K14" i="13"/>
  <c r="T188" i="11"/>
  <c r="T203"/>
  <c r="P188"/>
  <c r="P203"/>
  <c r="X188"/>
  <c r="X203"/>
  <c r="F188"/>
  <c r="F203"/>
  <c r="L188"/>
  <c r="L203"/>
  <c r="R188"/>
  <c r="R203"/>
  <c r="B203"/>
  <c r="L14" i="12"/>
  <c r="O14" s="1"/>
  <c r="L12" i="13"/>
  <c r="L16" i="12"/>
  <c r="L14" i="13"/>
  <c r="O14"/>
  <c r="AB188" i="11"/>
  <c r="Q8" i="13"/>
  <c r="Q10" i="12"/>
  <c r="Q8"/>
  <c r="Q23" s="1"/>
  <c r="Q24" s="1"/>
  <c r="N8" i="13"/>
  <c r="N10" i="12"/>
  <c r="M203" i="11"/>
  <c r="N188"/>
  <c r="N203"/>
  <c r="V188"/>
  <c r="V203"/>
  <c r="D14" i="12"/>
  <c r="D8"/>
  <c r="D23" s="1"/>
  <c r="D12" i="13"/>
  <c r="T12" s="1"/>
  <c r="E12"/>
  <c r="E14" i="12"/>
  <c r="M14"/>
  <c r="M8" s="1"/>
  <c r="M23" s="1"/>
  <c r="M24" s="1"/>
  <c r="M12" i="13"/>
  <c r="O12"/>
  <c r="G203" i="11"/>
  <c r="AA203"/>
  <c r="AB203"/>
  <c r="H188"/>
  <c r="H203"/>
  <c r="Z113" i="8"/>
  <c r="Y113"/>
  <c r="X113"/>
  <c r="W113"/>
  <c r="T113"/>
  <c r="U113"/>
  <c r="V105"/>
  <c r="V113"/>
  <c r="L113"/>
  <c r="M113"/>
  <c r="I113"/>
  <c r="J113"/>
  <c r="G113"/>
  <c r="AC109"/>
  <c r="AD109"/>
  <c r="F113"/>
  <c r="H113"/>
  <c r="E113"/>
  <c r="AC105"/>
  <c r="AD105"/>
  <c r="AB155" i="11"/>
  <c r="B153"/>
  <c r="L153"/>
  <c r="L168"/>
  <c r="K168"/>
  <c r="AA153"/>
  <c r="AB153"/>
  <c r="AC113" i="8"/>
  <c r="AD113"/>
  <c r="T153" i="11"/>
  <c r="T168"/>
  <c r="R153"/>
  <c r="R168"/>
  <c r="Z153"/>
  <c r="Z168"/>
  <c r="F153"/>
  <c r="F168"/>
  <c r="B168"/>
  <c r="P153"/>
  <c r="P168"/>
  <c r="V153"/>
  <c r="V168"/>
  <c r="J153"/>
  <c r="J168"/>
  <c r="H153"/>
  <c r="H168"/>
  <c r="N153"/>
  <c r="N168"/>
  <c r="D153"/>
  <c r="D168"/>
  <c r="X153"/>
  <c r="X168"/>
  <c r="AB142" i="8"/>
  <c r="Z142"/>
  <c r="T142"/>
  <c r="R138"/>
  <c r="Q142"/>
  <c r="R142"/>
  <c r="R139"/>
  <c r="M142"/>
  <c r="L142"/>
  <c r="H31" i="12"/>
  <c r="K32"/>
  <c r="K31" s="1"/>
  <c r="J142" i="8"/>
  <c r="AA142"/>
  <c r="W142"/>
  <c r="X134"/>
  <c r="X142"/>
  <c r="X137"/>
  <c r="P27" i="12"/>
  <c r="L28" i="13"/>
  <c r="O28"/>
  <c r="L30" i="12"/>
  <c r="L27"/>
  <c r="L35" s="1"/>
  <c r="L36" s="1"/>
  <c r="F28" i="13"/>
  <c r="O142" i="8"/>
  <c r="P134"/>
  <c r="P142"/>
  <c r="P135"/>
  <c r="K26" i="13"/>
  <c r="AC138" i="8"/>
  <c r="AD138"/>
  <c r="G28" i="12"/>
  <c r="D32"/>
  <c r="D138" i="8"/>
  <c r="D142"/>
  <c r="C142"/>
  <c r="AC134"/>
  <c r="AD134"/>
  <c r="G26" i="13"/>
  <c r="G25" s="1"/>
  <c r="AB113" i="8"/>
  <c r="M32" i="12"/>
  <c r="O32" s="1"/>
  <c r="O31" s="1"/>
  <c r="AC142" i="8"/>
  <c r="AD142"/>
  <c r="Q30" i="12"/>
  <c r="Q27"/>
  <c r="Q28" i="13"/>
  <c r="L28" i="12"/>
  <c r="L26" i="13"/>
  <c r="L25" s="1"/>
  <c r="O26"/>
  <c r="G32" i="12"/>
  <c r="M31"/>
  <c r="Q25" i="13"/>
  <c r="Q36" s="1"/>
  <c r="Q37" s="1"/>
  <c r="U32" i="12"/>
  <c r="U31" s="1"/>
  <c r="S32"/>
  <c r="S31" s="1"/>
  <c r="Q35"/>
  <c r="Q36" s="1"/>
  <c r="J32" i="13"/>
  <c r="J31" s="1"/>
  <c r="C31"/>
  <c r="C36"/>
  <c r="M32"/>
  <c r="M31" s="1"/>
  <c r="S30" i="12"/>
  <c r="D28" i="13"/>
  <c r="J27" i="12"/>
  <c r="C42"/>
  <c r="T14"/>
  <c r="C6" i="13"/>
  <c r="C21" s="1"/>
  <c r="O10" i="12"/>
  <c r="S8" i="13"/>
  <c r="S10" i="12"/>
  <c r="Q6" i="13"/>
  <c r="Q21" s="1"/>
  <c r="Q22" s="1"/>
  <c r="G10" i="12"/>
  <c r="AA168" i="11"/>
  <c r="AB168"/>
  <c r="U33" i="13"/>
  <c r="S26"/>
  <c r="G10" i="14"/>
  <c r="D10"/>
  <c r="M10" s="1"/>
  <c r="D13"/>
  <c r="C33"/>
  <c r="D34"/>
  <c r="G14"/>
  <c r="M14" s="1"/>
  <c r="J10"/>
  <c r="J13"/>
  <c r="D14"/>
  <c r="J34"/>
  <c r="G30"/>
  <c r="G34"/>
  <c r="G15"/>
  <c r="N7"/>
  <c r="N22"/>
  <c r="H38"/>
  <c r="C27"/>
  <c r="G28"/>
  <c r="G27"/>
  <c r="G38" s="1"/>
  <c r="J28"/>
  <c r="E38"/>
  <c r="C38"/>
  <c r="K22"/>
  <c r="K23"/>
  <c r="E39"/>
  <c r="M34"/>
  <c r="H39"/>
  <c r="M36"/>
  <c r="K38"/>
  <c r="K39"/>
  <c r="E22"/>
  <c r="E41"/>
  <c r="H41"/>
  <c r="K41"/>
  <c r="D33"/>
  <c r="M33" s="1"/>
  <c r="M12"/>
  <c r="D16"/>
  <c r="N41"/>
  <c r="H23"/>
  <c r="E23"/>
  <c r="M28"/>
  <c r="O8" i="15"/>
  <c r="S8"/>
  <c r="E9"/>
  <c r="H9" s="1"/>
  <c r="I9"/>
  <c r="M9"/>
  <c r="Q9"/>
  <c r="H10"/>
  <c r="E12"/>
  <c r="I12"/>
  <c r="M12"/>
  <c r="P12"/>
  <c r="Q12"/>
  <c r="F14"/>
  <c r="H14"/>
  <c r="J14"/>
  <c r="N14"/>
  <c r="R14"/>
  <c r="H18"/>
  <c r="F26"/>
  <c r="F25" s="1"/>
  <c r="F36" s="1"/>
  <c r="F37" s="1"/>
  <c r="J26"/>
  <c r="N26"/>
  <c r="R26"/>
  <c r="C31"/>
  <c r="C36"/>
  <c r="C39" s="1"/>
  <c r="E32"/>
  <c r="I32"/>
  <c r="I31" s="1"/>
  <c r="N8"/>
  <c r="R8"/>
  <c r="H34"/>
  <c r="M8"/>
  <c r="P8" s="1"/>
  <c r="G9"/>
  <c r="K9"/>
  <c r="O9"/>
  <c r="G12"/>
  <c r="K12"/>
  <c r="O12"/>
  <c r="U19"/>
  <c r="G32"/>
  <c r="K32"/>
  <c r="K31"/>
  <c r="G14"/>
  <c r="K14"/>
  <c r="O14"/>
  <c r="G26"/>
  <c r="K26"/>
  <c r="O26"/>
  <c r="F28"/>
  <c r="J28"/>
  <c r="J25" s="1"/>
  <c r="J36" s="1"/>
  <c r="J37" s="1"/>
  <c r="F32"/>
  <c r="H32" s="1"/>
  <c r="H31" s="1"/>
  <c r="F31"/>
  <c r="J32"/>
  <c r="E31"/>
  <c r="L26"/>
  <c r="O25"/>
  <c r="N25"/>
  <c r="N36" s="1"/>
  <c r="N37" s="1"/>
  <c r="R13"/>
  <c r="O28"/>
  <c r="Q32"/>
  <c r="F13"/>
  <c r="S9"/>
  <c r="S14"/>
  <c r="S26"/>
  <c r="S25" s="1"/>
  <c r="N28"/>
  <c r="O32"/>
  <c r="O31" s="1"/>
  <c r="M32"/>
  <c r="M31" s="1"/>
  <c r="P7"/>
  <c r="M28"/>
  <c r="U26"/>
  <c r="U25" s="1"/>
  <c r="N32"/>
  <c r="N13"/>
  <c r="R9"/>
  <c r="T9" s="1"/>
  <c r="Q13"/>
  <c r="Q14"/>
  <c r="T14" s="1"/>
  <c r="Q26"/>
  <c r="S28"/>
  <c r="P32"/>
  <c r="P31" s="1"/>
  <c r="P28"/>
  <c r="Q31"/>
  <c r="H28" l="1"/>
  <c r="M9" i="14"/>
  <c r="J6" i="15"/>
  <c r="J21" s="1"/>
  <c r="J22" s="1"/>
  <c r="L9"/>
  <c r="K8" i="12"/>
  <c r="K23" s="1"/>
  <c r="K24" s="1"/>
  <c r="L22" i="13"/>
  <c r="S35" i="12"/>
  <c r="S36" s="1"/>
  <c r="T36" i="13"/>
  <c r="T37" s="1"/>
  <c r="Q22" i="15"/>
  <c r="T12"/>
  <c r="H12"/>
  <c r="H26"/>
  <c r="E25"/>
  <c r="E36" s="1"/>
  <c r="E37" s="1"/>
  <c r="O36"/>
  <c r="O37" s="1"/>
  <c r="K25" i="13"/>
  <c r="G22" i="14"/>
  <c r="G23" s="1"/>
  <c r="S8" i="12"/>
  <c r="S23" s="1"/>
  <c r="S24" s="1"/>
  <c r="J22" i="13"/>
  <c r="D38" i="14"/>
  <c r="D24" i="12"/>
  <c r="D38"/>
  <c r="R31" i="15"/>
  <c r="T8" i="12"/>
  <c r="T23" s="1"/>
  <c r="T24" s="1"/>
  <c r="M36" i="13"/>
  <c r="M37" s="1"/>
  <c r="S25"/>
  <c r="O27" i="12"/>
  <c r="O35" s="1"/>
  <c r="O36" s="1"/>
  <c r="J36" i="13"/>
  <c r="J37" s="1"/>
  <c r="R25"/>
  <c r="F22" i="15"/>
  <c r="G28"/>
  <c r="G25" s="1"/>
  <c r="G36" s="1"/>
  <c r="G37" s="1"/>
  <c r="K13"/>
  <c r="K6" s="1"/>
  <c r="K21" s="1"/>
  <c r="K22" s="1"/>
  <c r="T8"/>
  <c r="S13"/>
  <c r="T13" s="1"/>
  <c r="L32"/>
  <c r="L31" s="1"/>
  <c r="D15" i="14"/>
  <c r="E8" i="12"/>
  <c r="E23" s="1"/>
  <c r="E24" s="1"/>
  <c r="T10"/>
  <c r="O8" i="13"/>
  <c r="H27" i="12"/>
  <c r="H35" s="1"/>
  <c r="H36" s="1"/>
  <c r="G30"/>
  <c r="G27" s="1"/>
  <c r="M27"/>
  <c r="M35" s="1"/>
  <c r="M36" s="1"/>
  <c r="K30"/>
  <c r="K27" s="1"/>
  <c r="K35" s="1"/>
  <c r="K36" s="1"/>
  <c r="H25" i="13"/>
  <c r="J31" i="12"/>
  <c r="J35" s="1"/>
  <c r="J36" s="1"/>
  <c r="U28"/>
  <c r="U27" s="1"/>
  <c r="U35" s="1"/>
  <c r="U36" s="1"/>
  <c r="E25" i="13"/>
  <c r="P31" i="12"/>
  <c r="P35" s="1"/>
  <c r="P36" s="1"/>
  <c r="G12" i="13"/>
  <c r="O13" i="12"/>
  <c r="O8" s="1"/>
  <c r="O23" s="1"/>
  <c r="O24" s="1"/>
  <c r="G9"/>
  <c r="G8" s="1"/>
  <c r="G23" s="1"/>
  <c r="T11" i="13"/>
  <c r="T13"/>
  <c r="G16" i="12"/>
  <c r="G18" i="13"/>
  <c r="U27"/>
  <c r="U25" s="1"/>
  <c r="M9"/>
  <c r="M6" s="1"/>
  <c r="M21" s="1"/>
  <c r="M22" s="1"/>
  <c r="R9"/>
  <c r="R6" s="1"/>
  <c r="R21" s="1"/>
  <c r="R22" s="1"/>
  <c r="F9"/>
  <c r="F6" s="1"/>
  <c r="F21" s="1"/>
  <c r="F22" s="1"/>
  <c r="G14"/>
  <c r="G34" i="12"/>
  <c r="G31" s="1"/>
  <c r="L32" i="13"/>
  <c r="E32"/>
  <c r="E31" s="1"/>
  <c r="F32"/>
  <c r="F31" s="1"/>
  <c r="F36" s="1"/>
  <c r="F37" s="1"/>
  <c r="H32"/>
  <c r="D8"/>
  <c r="E8"/>
  <c r="E6" s="1"/>
  <c r="E21" s="1"/>
  <c r="E22" s="1"/>
  <c r="J30" i="14"/>
  <c r="N9" i="15"/>
  <c r="M14"/>
  <c r="P14" s="1"/>
  <c r="R28"/>
  <c r="R25" s="1"/>
  <c r="R36" s="1"/>
  <c r="R37" s="1"/>
  <c r="I28"/>
  <c r="S32"/>
  <c r="S31" s="1"/>
  <c r="S36" s="1"/>
  <c r="S37" s="1"/>
  <c r="U32"/>
  <c r="U31" s="1"/>
  <c r="U36" s="1"/>
  <c r="U37" s="1"/>
  <c r="T26"/>
  <c r="R6"/>
  <c r="R21" s="1"/>
  <c r="R22" s="1"/>
  <c r="H7"/>
  <c r="E13"/>
  <c r="M19" i="14"/>
  <c r="M16" s="1"/>
  <c r="D25" i="13"/>
  <c r="H8" i="12"/>
  <c r="H23" s="1"/>
  <c r="H24" s="1"/>
  <c r="N8"/>
  <c r="N23" s="1"/>
  <c r="N24" s="1"/>
  <c r="R8"/>
  <c r="R23" s="1"/>
  <c r="R24" s="1"/>
  <c r="T20" i="13"/>
  <c r="G9"/>
  <c r="T15" i="12"/>
  <c r="H8" i="13"/>
  <c r="P9"/>
  <c r="S9" s="1"/>
  <c r="S6" s="1"/>
  <c r="S21" s="1"/>
  <c r="S22" s="1"/>
  <c r="G34"/>
  <c r="I9"/>
  <c r="K9" s="1"/>
  <c r="D32"/>
  <c r="N32"/>
  <c r="N31" s="1"/>
  <c r="N36" s="1"/>
  <c r="N37" s="1"/>
  <c r="P32"/>
  <c r="R32"/>
  <c r="R31" s="1"/>
  <c r="J15" i="14"/>
  <c r="J7" s="1"/>
  <c r="J22" s="1"/>
  <c r="J23" s="1"/>
  <c r="E8" i="15"/>
  <c r="I8"/>
  <c r="S12"/>
  <c r="J12"/>
  <c r="L12" s="1"/>
  <c r="O13"/>
  <c r="O6" s="1"/>
  <c r="O21" s="1"/>
  <c r="O22" s="1"/>
  <c r="M26"/>
  <c r="Q28"/>
  <c r="T28" s="1"/>
  <c r="R27" i="12"/>
  <c r="R35" s="1"/>
  <c r="R36" s="1"/>
  <c r="V32" i="15"/>
  <c r="V31" s="1"/>
  <c r="I13"/>
  <c r="L13" s="1"/>
  <c r="M13"/>
  <c r="H27"/>
  <c r="M35" i="14"/>
  <c r="U28" i="13"/>
  <c r="I8" i="12"/>
  <c r="I23" s="1"/>
  <c r="I24" s="1"/>
  <c r="N31"/>
  <c r="N35" s="1"/>
  <c r="N36" s="1"/>
  <c r="O27" i="13"/>
  <c r="O25" s="1"/>
  <c r="N9"/>
  <c r="N6" s="1"/>
  <c r="N21" s="1"/>
  <c r="N22" s="1"/>
  <c r="I32"/>
  <c r="I31" s="1"/>
  <c r="I36" s="1"/>
  <c r="I37" s="1"/>
  <c r="U11" i="15"/>
  <c r="U36" i="13" l="1"/>
  <c r="U37" s="1"/>
  <c r="T6" i="15"/>
  <c r="T21" s="1"/>
  <c r="T22" s="1"/>
  <c r="H8"/>
  <c r="U8"/>
  <c r="E6"/>
  <c r="E21" s="1"/>
  <c r="H31" i="13"/>
  <c r="H36" s="1"/>
  <c r="H37" s="1"/>
  <c r="K32"/>
  <c r="K31" s="1"/>
  <c r="P26" i="15"/>
  <c r="P25" s="1"/>
  <c r="P36" s="1"/>
  <c r="P37" s="1"/>
  <c r="M25"/>
  <c r="M36" s="1"/>
  <c r="M37" s="1"/>
  <c r="L8"/>
  <c r="L6" s="1"/>
  <c r="L21" s="1"/>
  <c r="L22" s="1"/>
  <c r="I6"/>
  <c r="I21" s="1"/>
  <c r="I22" s="1"/>
  <c r="S32" i="13"/>
  <c r="S31" s="1"/>
  <c r="S36" s="1"/>
  <c r="S37" s="1"/>
  <c r="P31"/>
  <c r="P36" s="1"/>
  <c r="P37" s="1"/>
  <c r="D6"/>
  <c r="D21" s="1"/>
  <c r="T8"/>
  <c r="G8"/>
  <c r="G6" s="1"/>
  <c r="G21" s="1"/>
  <c r="O32"/>
  <c r="O31" s="1"/>
  <c r="O36" s="1"/>
  <c r="O37" s="1"/>
  <c r="L31"/>
  <c r="L36" s="1"/>
  <c r="L37" s="1"/>
  <c r="T32" i="15"/>
  <c r="T31" s="1"/>
  <c r="V26"/>
  <c r="V25" s="1"/>
  <c r="V36" s="1"/>
  <c r="V37" s="1"/>
  <c r="V28"/>
  <c r="N6"/>
  <c r="N21" s="1"/>
  <c r="N22" s="1"/>
  <c r="P9"/>
  <c r="U13"/>
  <c r="H13"/>
  <c r="H6" s="1"/>
  <c r="H21" s="1"/>
  <c r="G24" i="12"/>
  <c r="K36" i="13"/>
  <c r="K37" s="1"/>
  <c r="S6" i="15"/>
  <c r="S21" s="1"/>
  <c r="S22" s="1"/>
  <c r="U9"/>
  <c r="E36" i="13"/>
  <c r="E37" s="1"/>
  <c r="O6"/>
  <c r="O21" s="1"/>
  <c r="O22" s="1"/>
  <c r="R36"/>
  <c r="R37" s="1"/>
  <c r="I6"/>
  <c r="I21" s="1"/>
  <c r="I22" s="1"/>
  <c r="U12" i="15"/>
  <c r="P13"/>
  <c r="M6"/>
  <c r="M21" s="1"/>
  <c r="M22" s="1"/>
  <c r="D31" i="13"/>
  <c r="D36" s="1"/>
  <c r="D37" s="1"/>
  <c r="U32"/>
  <c r="U31" s="1"/>
  <c r="G32"/>
  <c r="G31" s="1"/>
  <c r="G36" s="1"/>
  <c r="G37" s="1"/>
  <c r="H6"/>
  <c r="H21" s="1"/>
  <c r="H22" s="1"/>
  <c r="K8"/>
  <c r="K6" s="1"/>
  <c r="K21" s="1"/>
  <c r="K22" s="1"/>
  <c r="L28" i="15"/>
  <c r="L25" s="1"/>
  <c r="L36" s="1"/>
  <c r="L37" s="1"/>
  <c r="I25"/>
  <c r="I36" s="1"/>
  <c r="I37" s="1"/>
  <c r="J27" i="14"/>
  <c r="M30"/>
  <c r="D39" i="12"/>
  <c r="E38"/>
  <c r="G35"/>
  <c r="G36" s="1"/>
  <c r="T25" i="15"/>
  <c r="T36" s="1"/>
  <c r="T37" s="1"/>
  <c r="M15" i="14"/>
  <c r="M7" s="1"/>
  <c r="M22" s="1"/>
  <c r="Q25" i="15"/>
  <c r="Q36" s="1"/>
  <c r="Q37" s="1"/>
  <c r="T9" i="13"/>
  <c r="U14" i="15"/>
  <c r="P6" i="13"/>
  <c r="P21" s="1"/>
  <c r="P22" s="1"/>
  <c r="O9"/>
  <c r="H25" i="15"/>
  <c r="H36" s="1"/>
  <c r="H37" s="1"/>
  <c r="D7" i="14"/>
  <c r="D22" s="1"/>
  <c r="H39" i="15" l="1"/>
  <c r="H22"/>
  <c r="G39" i="13"/>
  <c r="G22"/>
  <c r="E22" i="15"/>
  <c r="E39"/>
  <c r="G38" i="12"/>
  <c r="U6" i="15"/>
  <c r="U21" s="1"/>
  <c r="U22" s="1"/>
  <c r="P6"/>
  <c r="P21" s="1"/>
  <c r="P22" s="1"/>
  <c r="M41" i="14"/>
  <c r="M23"/>
  <c r="E39" i="12"/>
  <c r="F38"/>
  <c r="D22" i="13"/>
  <c r="D39"/>
  <c r="D23" i="14"/>
  <c r="D41"/>
  <c r="G41" s="1"/>
  <c r="J41" s="1"/>
  <c r="J38"/>
  <c r="J39" s="1"/>
  <c r="M27"/>
  <c r="M38" s="1"/>
  <c r="T6" i="13"/>
  <c r="T21" s="1"/>
  <c r="T22" s="1"/>
  <c r="H40" i="15" l="1"/>
  <c r="L39"/>
  <c r="G39" i="14"/>
  <c r="D39"/>
  <c r="K38" i="12"/>
  <c r="G39"/>
  <c r="K39" i="13"/>
  <c r="G40"/>
  <c r="H38" i="12"/>
  <c r="F39"/>
  <c r="E40" i="15"/>
  <c r="F39"/>
  <c r="E39" i="13"/>
  <c r="D40"/>
  <c r="H39" i="12" l="1"/>
  <c r="I38"/>
  <c r="O38"/>
  <c r="K39"/>
  <c r="L40" i="15"/>
  <c r="P39"/>
  <c r="K40" i="13"/>
  <c r="O39"/>
  <c r="F39"/>
  <c r="E40"/>
  <c r="F40" i="15"/>
  <c r="G39"/>
  <c r="S38" i="12" l="1"/>
  <c r="S39" s="1"/>
  <c r="O39"/>
  <c r="H39" i="13"/>
  <c r="F40"/>
  <c r="P40" i="15"/>
  <c r="T39"/>
  <c r="T40" s="1"/>
  <c r="J38" i="12"/>
  <c r="I39"/>
  <c r="G40" i="15"/>
  <c r="I39"/>
  <c r="O40" i="13"/>
  <c r="S39"/>
  <c r="S40" s="1"/>
  <c r="J39" i="15" l="1"/>
  <c r="I40"/>
  <c r="J39" i="12"/>
  <c r="L38"/>
  <c r="I39" i="13"/>
  <c r="H40"/>
  <c r="I40" l="1"/>
  <c r="J39"/>
  <c r="J40" i="15"/>
  <c r="K39"/>
  <c r="M38" i="12"/>
  <c r="L39"/>
  <c r="N38" l="1"/>
  <c r="M39"/>
  <c r="J40" i="13"/>
  <c r="L39"/>
  <c r="K40" i="15"/>
  <c r="M39"/>
  <c r="N39" i="12" l="1"/>
  <c r="P38"/>
  <c r="N39" i="15"/>
  <c r="M40"/>
  <c r="M39" i="13"/>
  <c r="L40"/>
  <c r="N40" i="15" l="1"/>
  <c r="O39"/>
  <c r="M40" i="13"/>
  <c r="N39"/>
  <c r="P39" i="12"/>
  <c r="Q38"/>
  <c r="O40" i="15" l="1"/>
  <c r="Q39"/>
  <c r="Q39" i="12"/>
  <c r="R38"/>
  <c r="N40" i="13"/>
  <c r="P39"/>
  <c r="Q39" l="1"/>
  <c r="P40"/>
  <c r="Q40" i="15"/>
  <c r="R39"/>
  <c r="R39" i="12"/>
  <c r="T38"/>
  <c r="T39" s="1"/>
  <c r="Q40" i="13" l="1"/>
  <c r="R39"/>
  <c r="R40" i="15"/>
  <c r="S39"/>
  <c r="T39" i="13" l="1"/>
  <c r="T40" s="1"/>
  <c r="R40"/>
  <c r="U39" i="15"/>
  <c r="U40" s="1"/>
  <c r="S40"/>
</calcChain>
</file>

<file path=xl/comments1.xml><?xml version="1.0" encoding="utf-8"?>
<comments xmlns="http://schemas.openxmlformats.org/spreadsheetml/2006/main">
  <authors>
    <author>valdiana.araujo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52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Y53" authorId="0">
      <text>
        <r>
          <rPr>
            <b/>
            <sz val="9"/>
            <color indexed="81"/>
            <rFont val="Tahoma"/>
            <family val="2"/>
          </rPr>
          <t>Mês de Dezembro + 13º Salário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1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77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Y78" authorId="0">
      <text>
        <r>
          <rPr>
            <b/>
            <sz val="9"/>
            <color indexed="81"/>
            <rFont val="Tahoma"/>
            <family val="2"/>
          </rPr>
          <t>Mês de Dezembro + 13º Salário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6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105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Y106" authorId="0">
      <text>
        <r>
          <rPr>
            <b/>
            <sz val="9"/>
            <color indexed="81"/>
            <rFont val="Tahoma"/>
            <family val="2"/>
          </rPr>
          <t>Mês de Dezembro + 13º Salário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4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129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Y130" authorId="0">
      <text>
        <r>
          <rPr>
            <b/>
            <sz val="9"/>
            <color indexed="81"/>
            <rFont val="Tahoma"/>
            <family val="2"/>
          </rPr>
          <t>Mês de Dezembro + 13º Salário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153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Y154" authorId="0">
      <text>
        <r>
          <rPr>
            <b/>
            <sz val="9"/>
            <color indexed="81"/>
            <rFont val="Tahoma"/>
            <family val="2"/>
          </rPr>
          <t>Mês de Dezembro + 13º Salário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2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188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197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</commentList>
</comments>
</file>

<file path=xl/comments2.xml><?xml version="1.0" encoding="utf-8"?>
<comments xmlns="http://schemas.openxmlformats.org/spreadsheetml/2006/main">
  <authors>
    <author>valdiana.araujo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Y38" authorId="0">
      <text>
        <r>
          <rPr>
            <b/>
            <sz val="9"/>
            <color indexed="81"/>
            <rFont val="Tahoma"/>
            <family val="2"/>
          </rPr>
          <t>Mês de Dezembro + 13º Salário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38" authorId="0">
      <text>
        <r>
          <rPr>
            <b/>
            <sz val="9"/>
            <color indexed="81"/>
            <rFont val="Tahoma"/>
            <family val="2"/>
          </rPr>
          <t>FGTS-INSS-PIS</t>
        </r>
      </text>
    </comment>
    <comment ref="A41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53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54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Y54" authorId="0">
      <text>
        <r>
          <rPr>
            <b/>
            <sz val="9"/>
            <color indexed="81"/>
            <rFont val="Tahoma"/>
            <family val="2"/>
          </rPr>
          <t>Mês de Dezembro + 13º Salário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54" authorId="0">
      <text>
        <r>
          <rPr>
            <b/>
            <sz val="9"/>
            <color indexed="81"/>
            <rFont val="Tahoma"/>
            <family val="2"/>
          </rPr>
          <t>FGTS-INSS-PIS</t>
        </r>
      </text>
    </comment>
    <comment ref="A57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72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73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Y73" authorId="0">
      <text>
        <r>
          <rPr>
            <b/>
            <sz val="9"/>
            <color indexed="81"/>
            <rFont val="Tahoma"/>
            <family val="2"/>
          </rPr>
          <t>Mês de Dezembro + 13º Salário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73" authorId="0">
      <text>
        <r>
          <rPr>
            <b/>
            <sz val="9"/>
            <color indexed="81"/>
            <rFont val="Tahoma"/>
            <family val="2"/>
          </rPr>
          <t>FGTS-INSS-PIS</t>
        </r>
      </text>
    </comment>
    <comment ref="A76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89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90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Y90" authorId="0">
      <text>
        <r>
          <rPr>
            <b/>
            <sz val="9"/>
            <color indexed="81"/>
            <rFont val="Tahoma"/>
            <family val="2"/>
          </rPr>
          <t>Mês de Dezembro + 13º Salário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90" authorId="0">
      <text>
        <r>
          <rPr>
            <b/>
            <sz val="9"/>
            <color indexed="81"/>
            <rFont val="Tahoma"/>
            <family val="2"/>
          </rPr>
          <t>FGTS-INSS-PIS</t>
        </r>
      </text>
    </comment>
    <comment ref="A93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105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106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Y106" authorId="0">
      <text>
        <r>
          <rPr>
            <b/>
            <sz val="9"/>
            <color indexed="81"/>
            <rFont val="Tahoma"/>
            <family val="2"/>
          </rPr>
          <t>Mês de Dezembro + 13º Salário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106" authorId="0">
      <text>
        <r>
          <rPr>
            <b/>
            <sz val="9"/>
            <color indexed="81"/>
            <rFont val="Tahoma"/>
            <family val="2"/>
          </rPr>
          <t>FGTS-INSS-PIS</t>
        </r>
      </text>
    </comment>
    <comment ref="A109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134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135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A138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</commentList>
</comments>
</file>

<file path=xl/comments3.xml><?xml version="1.0" encoding="utf-8"?>
<comments xmlns="http://schemas.openxmlformats.org/spreadsheetml/2006/main">
  <authors>
    <author>valdiana.araujo</author>
  </authors>
  <commentList>
    <comment ref="B27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</commentList>
</comments>
</file>

<file path=xl/comments4.xml><?xml version="1.0" encoding="utf-8"?>
<comments xmlns="http://schemas.openxmlformats.org/spreadsheetml/2006/main">
  <authors>
    <author>valdiana.araujo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</commentList>
</comments>
</file>

<file path=xl/comments5.xml><?xml version="1.0" encoding="utf-8"?>
<comments xmlns="http://schemas.openxmlformats.org/spreadsheetml/2006/main">
  <authors>
    <author>valdiana.araujo</author>
  </authors>
  <commentList>
    <comment ref="B27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</commentList>
</comments>
</file>

<file path=xl/comments6.xml><?xml version="1.0" encoding="utf-8"?>
<comments xmlns="http://schemas.openxmlformats.org/spreadsheetml/2006/main">
  <authors>
    <author>valdiana.araujo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</commentList>
</comments>
</file>

<file path=xl/sharedStrings.xml><?xml version="1.0" encoding="utf-8"?>
<sst xmlns="http://schemas.openxmlformats.org/spreadsheetml/2006/main" count="1187" uniqueCount="111">
  <si>
    <t>COREN/SP - CONSELHO REGIONAL DE ENFERMAGEM DE SÃO PAULO</t>
  </si>
  <si>
    <t>Valor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</si>
  <si>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</si>
  <si>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</si>
  <si>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</si>
  <si>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</si>
  <si>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</si>
  <si>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</si>
  <si>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</si>
  <si>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</si>
  <si>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</si>
  <si>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</si>
  <si>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</si>
  <si>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</si>
  <si>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</si>
  <si>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%</t>
  </si>
  <si>
    <t>Total das Receitas</t>
  </si>
  <si>
    <t>Total das Despesas</t>
  </si>
  <si>
    <t>3 - DESPESAS CORRENTES</t>
  </si>
  <si>
    <t>3.1 - Vencimentos e Vantagens - Pessoal Civil</t>
  </si>
  <si>
    <t>3.2 -  Juros e Encargos da Dívida</t>
  </si>
  <si>
    <t>3.3 - Outras Despesas Correntes</t>
  </si>
  <si>
    <t>4 - DESPESAS DE CAPITAL</t>
  </si>
  <si>
    <t>4.4 - Investimentos</t>
  </si>
  <si>
    <t>4.5 - Inversões Financeiras</t>
  </si>
  <si>
    <t>4.6 - Amortizações da Dívida</t>
  </si>
  <si>
    <t>Grupo de Natureza da Despesa</t>
  </si>
  <si>
    <t>Gasto mensal da Despesa 2014</t>
  </si>
  <si>
    <t>1 - RECEITAS CORRENTES</t>
  </si>
  <si>
    <t>2 - RECEITAS DE CAPITAL</t>
  </si>
  <si>
    <t>Origem da Receita</t>
  </si>
  <si>
    <t>1.2 - Receita de Contribuições</t>
  </si>
  <si>
    <t>1.3 - Receita Patrimonial</t>
  </si>
  <si>
    <t>2.3 - Amortização de Empréstimos</t>
  </si>
  <si>
    <t>2.5 - Outras Receitas de Capital</t>
  </si>
  <si>
    <t>1.9 - Outras Receitas Correntes</t>
  </si>
  <si>
    <t>Execução</t>
  </si>
  <si>
    <t>Gasto mensal da Despesa 2015</t>
  </si>
  <si>
    <t>LRF 101/2000</t>
  </si>
  <si>
    <t>Lei 4.320/64</t>
  </si>
  <si>
    <t>Da Programação da Despesa
Art. 47. Imediatamente após a promulgação da Lei de Orçamento e com base nos limites nela fixados, o Poder Executivo aprovará um quadro de cotas trimestrais da despesa que cada unidade orçamentária fica autorizada a utilizar.
Art. 48 A fixação das cotas a que se refere o artigo anterior atenderá aos seguintes objetivos:
a) assegurar às unidades orçamentárias, em tempo útil a soma de recursos necessários e suficientes a melhor execução do seu programa anual de trabalho;
b) manter, durante o exercício, na medida do possível o equilíbrio entre a receita arrecadada e a despesa realizada, de modo a reduzir ao mínimo eventuais insuficiências de tesouraria.
Art. 49. A programação da despesa orçamentária, para feito do disposto no artigo anterior, levará em conta os créditos adicionais e as operações extra-orçamentárias.
Art. 50. As cotas trimestrais poderão ser alteradas durante o exercício, observados o limite da dotação e o comportamento da execução orçamentária.</t>
  </si>
  <si>
    <r>
      <t>Da Execução Orçamentária e do Cumprimento das Metas
Art. 8</t>
    </r>
    <r>
      <rPr>
        <u/>
        <vertAlign val="superscript"/>
        <sz val="11"/>
        <color indexed="8"/>
        <rFont val="Arial"/>
        <family val="2"/>
      </rPr>
      <t>o</t>
    </r>
    <r>
      <rPr>
        <b/>
        <sz val="10"/>
        <color indexed="8"/>
        <rFont val="Arial"/>
        <family val="2"/>
      </rPr>
      <t> </t>
    </r>
    <r>
      <rPr>
        <sz val="10"/>
        <color indexed="8"/>
        <rFont val="Arial"/>
        <family val="2"/>
      </rPr>
      <t>Até trinta dias após a publicação dos orçamentos, nos termos em que dispuser a lei de diretrizes orçamentárias e observado o disposto na alínea </t>
    </r>
    <r>
      <rPr>
        <i/>
        <sz val="10"/>
        <color indexed="8"/>
        <rFont val="Arial"/>
        <family val="2"/>
      </rPr>
      <t>c </t>
    </r>
    <r>
      <rPr>
        <sz val="10"/>
        <color indexed="8"/>
        <rFont val="Arial"/>
        <family val="2"/>
      </rPr>
      <t>do inciso I do art. 4</t>
    </r>
    <r>
      <rPr>
        <u/>
        <vertAlign val="superscript"/>
        <sz val="11"/>
        <color indexed="8"/>
        <rFont val="Arial"/>
        <family val="2"/>
      </rPr>
      <t>o</t>
    </r>
    <r>
      <rPr>
        <sz val="10"/>
        <color indexed="8"/>
        <rFont val="Arial"/>
        <family val="2"/>
      </rPr>
      <t>, o Poder Executivo estabelecerá a programação financeira e o cronograma de execução mensal de desembolso.     </t>
    </r>
    <r>
      <rPr>
        <sz val="10"/>
        <color indexed="8"/>
        <rFont val="Arial"/>
        <family val="2"/>
      </rPr>
      <t>(Vide Decreto nº 4.959, de 2004)</t>
    </r>
    <r>
      <rPr>
        <sz val="10"/>
        <color indexed="8"/>
        <rFont val="Arial"/>
        <family val="2"/>
      </rPr>
      <t>     </t>
    </r>
    <r>
      <rPr>
        <sz val="10"/>
        <color indexed="8"/>
        <rFont val="Arial"/>
        <family val="2"/>
      </rPr>
      <t>(Vide Decreto nº 5.356, de 2005)</t>
    </r>
  </si>
  <si>
    <t>1.1 - Receita Tributária</t>
  </si>
  <si>
    <t>1.4 - Receita Agropecuária</t>
  </si>
  <si>
    <t>1.5 - Receita Industrial</t>
  </si>
  <si>
    <t>1.6 - Receita de Serviços</t>
  </si>
  <si>
    <t>1.7 - Transferências Correntes</t>
  </si>
  <si>
    <t>2.1 - Operações de Crédito</t>
  </si>
  <si>
    <t>2.2 - Alienações de Bens</t>
  </si>
  <si>
    <t>2.4 - Transferências de Capital</t>
  </si>
  <si>
    <t>Origem das Receitas</t>
  </si>
  <si>
    <t>Despesa Executada</t>
  </si>
  <si>
    <t>Inscritos em Restos a Pagar</t>
  </si>
  <si>
    <t>Restos a Pagar</t>
  </si>
  <si>
    <t>Orçamento</t>
  </si>
  <si>
    <t>Programação Financeira e Cronograma de Execução Mensal de Desembolso</t>
  </si>
  <si>
    <t>4 - RECEITAS DE CAPITAL</t>
  </si>
  <si>
    <t>Receita Realizada</t>
  </si>
  <si>
    <t>Receita mensal realizada 2015</t>
  </si>
  <si>
    <t>Receita mensal realizada 2014</t>
  </si>
  <si>
    <t>Receita realizada</t>
  </si>
  <si>
    <t>1º Trimestre</t>
  </si>
  <si>
    <t>2º Trimestre</t>
  </si>
  <si>
    <t>3º Trimestre</t>
  </si>
  <si>
    <t>Percentual Mensal/Trimestral</t>
  </si>
  <si>
    <t>4º Trimestre</t>
  </si>
  <si>
    <t>Superávit/Déficit</t>
  </si>
  <si>
    <t>Inscrição em Restos a Pagar</t>
  </si>
  <si>
    <t>Art. 3º da Resolução Cofen nº 503/2016</t>
  </si>
  <si>
    <t>Art.3º Deverá ser apresentado pela Tesouraria após 30 (trinta) dias da aprovação da proposta orçamentaria, o Cronograma Anual de Desembolso, que consiste na programação mensal de cada grupo de receita e despesa. (Redação dada pela Resolução Cofen nº 0532/2017)</t>
  </si>
  <si>
    <t>Resolução Cofen nº 503/2016</t>
  </si>
  <si>
    <t>Receita mensal realizada e prevista 2017</t>
  </si>
  <si>
    <t>Gasto mensal da Despesa 2017</t>
  </si>
  <si>
    <t>,</t>
  </si>
  <si>
    <t>3.4 - Reformulação Orçamentária</t>
  </si>
  <si>
    <t>3.4.1 - Crédito Adicional / Superávit</t>
  </si>
  <si>
    <t>4.7 - Crédito Adicional / Superávit</t>
  </si>
  <si>
    <t>Receita mensal realizada e prevista 2018</t>
  </si>
  <si>
    <t>Gasto mensal da Despesa 2018</t>
  </si>
  <si>
    <t>Gasto mensal da Despesa 2019</t>
  </si>
  <si>
    <t>Receita mensal realizada e prevista 2019</t>
  </si>
  <si>
    <t xml:space="preserve">James Francisco Pedro dos Santos
Presidente </t>
  </si>
  <si>
    <t>Gergezio Andrade Souza
1º Tesoureiro</t>
  </si>
  <si>
    <t>Virginia Tavares Santos
2º Tesoureiro</t>
  </si>
  <si>
    <t xml:space="preserve">     William Francisco da Silva</t>
  </si>
  <si>
    <t>Receita mensal realizada e prevista 2020</t>
  </si>
  <si>
    <t>Gasto mensal da Despesa 2020</t>
  </si>
  <si>
    <t>Gerente de Contabilidade</t>
  </si>
  <si>
    <t xml:space="preserve">Sergio Roberto dos Santos
Gerente Financeiro </t>
  </si>
  <si>
    <t>Receita mensal realizada e prevista 2021</t>
  </si>
  <si>
    <t>Receita mensal realizada média do triênio  2019/2020/2021</t>
  </si>
  <si>
    <t>Gasto mensal da Despesa 2021</t>
  </si>
  <si>
    <t>Gasto mensal da Despesa média do triênio  2019/2020/2021</t>
  </si>
  <si>
    <t xml:space="preserve">          Presidente da Comissão p/ Elaboração da Proposta Orçamentária – 2023</t>
  </si>
  <si>
    <t>Exercício: 2023</t>
  </si>
  <si>
    <t>* O critério utilizado para a elaboração deste Cronograma baseou-se na média de recebimentos e pagamentos dos anos de 2019, 2020 e 2021.</t>
  </si>
  <si>
    <t>* Diferença entre Receita e Despesa refere-se à Reserva de Contingência R$ 2.230.557,39. Conforme aprovação de suplementação das Categorias Econômicas, o Cronograma será atualizado.</t>
  </si>
  <si>
    <t>Previsto</t>
  </si>
  <si>
    <t>Realizado</t>
  </si>
  <si>
    <t>Pago</t>
  </si>
  <si>
    <t>Presidente</t>
  </si>
  <si>
    <t xml:space="preserve">Gergezio Andrade Souza
Presidente </t>
  </si>
  <si>
    <t>Tesoureiro</t>
  </si>
  <si>
    <t xml:space="preserve">     William Francisco da Silva
Presidente </t>
  </si>
  <si>
    <t>Gerente Financeiro</t>
  </si>
  <si>
    <t xml:space="preserve">     Sergio Roberto dos Santos
Presidente </t>
  </si>
  <si>
    <t>** Orçamento ajustado com superávit de R$ 13.500.000,00</t>
  </si>
  <si>
    <t>* O critério utilizado para a elaboração deste Cronograma baseou-se na média de recebimentos e pagamentos dos anos de 2020, 2021 e 2022.</t>
  </si>
  <si>
    <t>Orçamento Atualizado</t>
  </si>
  <si>
    <t xml:space="preserve">Programação Financeira e Cronograma de Execução Mensal de Desembolso </t>
  </si>
  <si>
    <t>Exercício: 2023 - Ajustado c/ Superávit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</si>
</sst>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70" formatCode="_(* #,##0.00_);_(* \(#,##0.00\);_(* &quot;-&quot;??_);_(@_)"/>
  </numFmts>
  <fonts count="6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14"/>
      <color indexed="63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62"/>
      <name val="Tahoma"/>
      <family val="2"/>
    </font>
    <font>
      <sz val="10"/>
      <color indexed="8"/>
      <name val="Arial"/>
      <family val="2"/>
    </font>
    <font>
      <u/>
      <vertAlign val="superscript"/>
      <sz val="11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sz val="8"/>
      <name val="Times New Roman"/>
      <family val="1"/>
    </font>
    <font>
      <sz val="8"/>
      <color indexed="63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sz val="8"/>
      <color indexed="18"/>
      <name val="Times New Roman"/>
      <family val="1"/>
    </font>
    <font>
      <b/>
      <sz val="14"/>
      <color indexed="18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b/>
      <sz val="8"/>
      <color indexed="10"/>
      <name val="Times New Roman"/>
      <family val="1"/>
    </font>
    <font>
      <sz val="8"/>
      <color indexed="48"/>
      <name val="Times New Roman"/>
      <family val="1"/>
    </font>
    <font>
      <b/>
      <sz val="14"/>
      <color indexed="63"/>
      <name val="Tahoma"/>
      <family val="2"/>
    </font>
    <font>
      <b/>
      <sz val="10"/>
      <name val="Times New Roman"/>
      <family val="1"/>
    </font>
    <font>
      <b/>
      <sz val="10"/>
      <color indexed="18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6" tint="-0.499984740745262"/>
      <name val="Tahoma"/>
      <family val="2"/>
    </font>
    <font>
      <sz val="8"/>
      <color theme="1"/>
      <name val="Times New Roman"/>
      <family val="1"/>
    </font>
    <font>
      <b/>
      <sz val="7"/>
      <color rgb="FF0070C0"/>
      <name val="Times New Roman"/>
      <family val="1"/>
    </font>
    <font>
      <sz val="7"/>
      <color rgb="FF0070C0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Times New Roman"/>
      <family val="1"/>
    </font>
    <font>
      <b/>
      <sz val="7"/>
      <color theme="6" tint="-0.499984740745262"/>
      <name val="Times New Roman"/>
      <family val="1"/>
    </font>
    <font>
      <sz val="7"/>
      <color theme="6" tint="-0.499984740745262"/>
      <name val="Times New Roman"/>
      <family val="1"/>
    </font>
    <font>
      <sz val="8"/>
      <color rgb="FFFF0000"/>
      <name val="Times New Roman"/>
      <family val="1"/>
    </font>
    <font>
      <b/>
      <sz val="10"/>
      <color rgb="FF0070C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6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7"/>
      <color rgb="FF434343"/>
      <name val="Tahoma"/>
      <family val="2"/>
    </font>
    <font>
      <sz val="8"/>
      <color theme="1"/>
      <name val="Calibri"/>
      <family val="2"/>
    </font>
    <font>
      <b/>
      <sz val="8"/>
      <color rgb="FF434343"/>
      <name val="Calibri"/>
      <family val="2"/>
    </font>
    <font>
      <sz val="8"/>
      <color rgb="FF434343"/>
      <name val="Calibri"/>
      <family val="2"/>
      <scheme val="minor"/>
    </font>
    <font>
      <sz val="8"/>
      <color theme="1"/>
      <name val="Arial"/>
      <family val="2"/>
    </font>
    <font>
      <b/>
      <sz val="8"/>
      <color rgb="FF434343"/>
      <name val="Calibri"/>
      <family val="2"/>
      <scheme val="minor"/>
    </font>
    <font>
      <b/>
      <sz val="14"/>
      <color rgb="FF000000"/>
      <name val="Times New Roman"/>
      <family val="1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44" fontId="33" fillId="0" borderId="0" applyFont="0" applyFill="0" applyBorder="0" applyAlignment="0" applyProtection="0"/>
    <xf numFmtId="44" fontId="2" fillId="0" borderId="0" quotePrefix="1" applyFont="0" applyFill="0" applyBorder="0" applyAlignment="0">
      <protection locked="0"/>
    </xf>
    <xf numFmtId="44" fontId="1" fillId="0" borderId="0" quotePrefix="1" applyFont="0" applyFill="0" applyBorder="0" applyAlignment="0">
      <protection locked="0"/>
    </xf>
    <xf numFmtId="44" fontId="2" fillId="0" borderId="0" quotePrefix="1" applyFont="0" applyFill="0" applyBorder="0" applyAlignment="0">
      <protection locked="0"/>
    </xf>
    <xf numFmtId="44" fontId="1" fillId="0" borderId="0" quotePrefix="1" applyFont="0" applyFill="0" applyBorder="0" applyAlignment="0">
      <protection locked="0"/>
    </xf>
    <xf numFmtId="44" fontId="2" fillId="0" borderId="0" quotePrefix="1" applyFont="0" applyFill="0" applyBorder="0" applyAlignment="0">
      <protection locked="0"/>
    </xf>
    <xf numFmtId="44" fontId="1" fillId="0" borderId="0" quotePrefix="1" applyFont="0" applyFill="0" applyBorder="0" applyAlignment="0">
      <protection locked="0"/>
    </xf>
    <xf numFmtId="0" fontId="2" fillId="0" borderId="0"/>
    <xf numFmtId="0" fontId="1" fillId="0" borderId="0"/>
    <xf numFmtId="0" fontId="2" fillId="0" borderId="0"/>
    <xf numFmtId="0" fontId="6" fillId="0" borderId="0"/>
    <xf numFmtId="0" fontId="1" fillId="0" borderId="0"/>
    <xf numFmtId="0" fontId="33" fillId="0" borderId="0"/>
    <xf numFmtId="0" fontId="1" fillId="0" borderId="0"/>
    <xf numFmtId="0" fontId="6" fillId="0" borderId="0"/>
    <xf numFmtId="0" fontId="2" fillId="0" borderId="0"/>
    <xf numFmtId="0" fontId="1" fillId="0" borderId="0"/>
    <xf numFmtId="0" fontId="2" fillId="0" borderId="0"/>
    <xf numFmtId="0" fontId="1" fillId="0" borderId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310">
    <xf numFmtId="0" fontId="0" fillId="0" borderId="0" xfId="0"/>
    <xf numFmtId="43" fontId="0" fillId="0" borderId="0" xfId="0" applyNumberFormat="1"/>
    <xf numFmtId="0" fontId="34" fillId="0" borderId="0" xfId="0" applyFont="1" applyBorder="1"/>
    <xf numFmtId="0" fontId="9" fillId="0" borderId="1" xfId="14" applyNumberFormat="1" applyFont="1" applyFill="1" applyBorder="1" applyAlignment="1" applyProtection="1">
      <alignment horizontal="center" vertical="center" wrapText="1" shrinkToFit="1"/>
    </xf>
    <xf numFmtId="43" fontId="34" fillId="3" borderId="1" xfId="1" applyNumberFormat="1" applyFont="1" applyFill="1" applyBorder="1"/>
    <xf numFmtId="10" fontId="34" fillId="3" borderId="1" xfId="20" applyNumberFormat="1" applyFont="1" applyFill="1" applyBorder="1"/>
    <xf numFmtId="43" fontId="34" fillId="0" borderId="1" xfId="1" applyNumberFormat="1" applyFont="1" applyBorder="1"/>
    <xf numFmtId="10" fontId="34" fillId="0" borderId="1" xfId="20" applyNumberFormat="1" applyFont="1" applyBorder="1"/>
    <xf numFmtId="43" fontId="34" fillId="0" borderId="1" xfId="1" applyNumberFormat="1" applyFont="1" applyFill="1" applyBorder="1"/>
    <xf numFmtId="43" fontId="34" fillId="0" borderId="0" xfId="1" applyNumberFormat="1" applyFont="1" applyBorder="1"/>
    <xf numFmtId="0" fontId="0" fillId="0" borderId="0" xfId="0" applyAlignment="1">
      <alignment vertical="center"/>
    </xf>
    <xf numFmtId="49" fontId="3" fillId="0" borderId="0" xfId="14" applyNumberFormat="1" applyFont="1" applyFill="1" applyBorder="1" applyAlignment="1" applyProtection="1">
      <alignment vertical="center" wrapText="1" shrinkToFit="1"/>
    </xf>
    <xf numFmtId="0" fontId="7" fillId="3" borderId="1" xfId="8" applyFont="1" applyFill="1" applyBorder="1" applyAlignment="1" applyProtection="1">
      <alignment vertical="center"/>
    </xf>
    <xf numFmtId="0" fontId="7" fillId="0" borderId="1" xfId="8" applyFont="1" applyFill="1" applyBorder="1" applyAlignment="1" applyProtection="1">
      <alignment horizontal="left" vertical="center"/>
    </xf>
    <xf numFmtId="0" fontId="7" fillId="2" borderId="1" xfId="8" applyFont="1" applyFill="1" applyBorder="1" applyAlignment="1" applyProtection="1">
      <alignment horizontal="left" vertical="center"/>
    </xf>
    <xf numFmtId="0" fontId="8" fillId="4" borderId="1" xfId="8" applyFont="1" applyFill="1" applyBorder="1" applyAlignment="1" applyProtection="1">
      <alignment horizontal="left" vertical="center"/>
    </xf>
    <xf numFmtId="43" fontId="34" fillId="4" borderId="1" xfId="1" applyNumberFormat="1" applyFont="1" applyFill="1" applyBorder="1"/>
    <xf numFmtId="10" fontId="34" fillId="4" borderId="1" xfId="20" applyNumberFormat="1" applyFont="1" applyFill="1" applyBorder="1"/>
    <xf numFmtId="9" fontId="33" fillId="0" borderId="0" xfId="20" applyFont="1"/>
    <xf numFmtId="43" fontId="34" fillId="0" borderId="1" xfId="20" applyNumberFormat="1" applyFont="1" applyBorder="1"/>
    <xf numFmtId="43" fontId="34" fillId="3" borderId="1" xfId="20" applyNumberFormat="1" applyFont="1" applyFill="1" applyBorder="1"/>
    <xf numFmtId="0" fontId="34" fillId="0" borderId="0" xfId="0" applyFont="1" applyBorder="1" applyAlignment="1">
      <alignment horizontal="right"/>
    </xf>
    <xf numFmtId="43" fontId="35" fillId="0" borderId="0" xfId="0" applyNumberFormat="1" applyFont="1"/>
    <xf numFmtId="43" fontId="34" fillId="0" borderId="0" xfId="1" applyNumberFormat="1" applyFont="1" applyFill="1" applyBorder="1"/>
    <xf numFmtId="43" fontId="34" fillId="4" borderId="1" xfId="20" applyNumberFormat="1" applyFont="1" applyFill="1" applyBorder="1"/>
    <xf numFmtId="0" fontId="0" fillId="0" borderId="0" xfId="0"/>
    <xf numFmtId="43" fontId="0" fillId="0" borderId="0" xfId="0" applyNumberFormat="1"/>
    <xf numFmtId="0" fontId="34" fillId="0" borderId="0" xfId="0" applyFont="1" applyBorder="1"/>
    <xf numFmtId="43" fontId="34" fillId="0" borderId="1" xfId="1" applyNumberFormat="1" applyFont="1" applyBorder="1"/>
    <xf numFmtId="10" fontId="34" fillId="0" borderId="1" xfId="20" applyNumberFormat="1" applyFont="1" applyBorder="1"/>
    <xf numFmtId="43" fontId="34" fillId="0" borderId="1" xfId="1" applyNumberFormat="1" applyFont="1" applyFill="1" applyBorder="1"/>
    <xf numFmtId="43" fontId="34" fillId="0" borderId="0" xfId="1" applyNumberFormat="1" applyFont="1" applyBorder="1"/>
    <xf numFmtId="43" fontId="36" fillId="0" borderId="0" xfId="0" applyNumberFormat="1" applyFont="1"/>
    <xf numFmtId="9" fontId="33" fillId="0" borderId="0" xfId="20" applyFont="1"/>
    <xf numFmtId="43" fontId="34" fillId="0" borderId="1" xfId="20" applyNumberFormat="1" applyFont="1" applyBorder="1"/>
    <xf numFmtId="0" fontId="34" fillId="0" borderId="0" xfId="0" applyFont="1" applyBorder="1" applyAlignment="1">
      <alignment horizontal="right"/>
    </xf>
    <xf numFmtId="43" fontId="35" fillId="0" borderId="0" xfId="0" applyNumberFormat="1" applyFont="1"/>
    <xf numFmtId="43" fontId="34" fillId="0" borderId="0" xfId="1" applyNumberFormat="1" applyFont="1" applyFill="1" applyBorder="1"/>
    <xf numFmtId="10" fontId="34" fillId="0" borderId="1" xfId="20" applyNumberFormat="1" applyFont="1" applyBorder="1"/>
    <xf numFmtId="0" fontId="8" fillId="5" borderId="1" xfId="8" applyFont="1" applyFill="1" applyBorder="1" applyAlignment="1" applyProtection="1">
      <alignment horizontal="left" vertical="center"/>
    </xf>
    <xf numFmtId="10" fontId="34" fillId="5" borderId="1" xfId="20" applyNumberFormat="1" applyFont="1" applyFill="1" applyBorder="1"/>
    <xf numFmtId="0" fontId="7" fillId="6" borderId="1" xfId="8" applyFont="1" applyFill="1" applyBorder="1" applyAlignment="1" applyProtection="1">
      <alignment vertical="center"/>
    </xf>
    <xf numFmtId="10" fontId="34" fillId="6" borderId="1" xfId="20" applyNumberFormat="1" applyFont="1" applyFill="1" applyBorder="1"/>
    <xf numFmtId="0" fontId="37" fillId="0" borderId="1" xfId="14" applyNumberFormat="1" applyFont="1" applyFill="1" applyBorder="1" applyAlignment="1" applyProtection="1">
      <alignment horizontal="center" vertical="center" wrapText="1" shrinkToFit="1"/>
    </xf>
    <xf numFmtId="43" fontId="34" fillId="6" borderId="1" xfId="1" applyNumberFormat="1" applyFont="1" applyFill="1" applyBorder="1"/>
    <xf numFmtId="43" fontId="34" fillId="6" borderId="1" xfId="20" applyNumberFormat="1" applyFont="1" applyFill="1" applyBorder="1"/>
    <xf numFmtId="43" fontId="34" fillId="5" borderId="1" xfId="1" applyNumberFormat="1" applyFont="1" applyFill="1" applyBorder="1"/>
    <xf numFmtId="0" fontId="4" fillId="0" borderId="0" xfId="14" applyNumberFormat="1" applyFont="1" applyFill="1" applyBorder="1" applyAlignment="1" applyProtection="1">
      <alignment horizontal="center" vertical="top" wrapText="1" shrinkToFit="1"/>
    </xf>
    <xf numFmtId="0" fontId="37" fillId="0" borderId="1" xfId="14" applyNumberFormat="1" applyFont="1" applyFill="1" applyBorder="1" applyAlignment="1" applyProtection="1">
      <alignment horizontal="center" vertical="center" wrapText="1" shrinkToFit="1"/>
    </xf>
    <xf numFmtId="0" fontId="16" fillId="2" borderId="0" xfId="8" applyFont="1" applyFill="1" applyProtection="1"/>
    <xf numFmtId="0" fontId="17" fillId="2" borderId="0" xfId="8" applyFont="1" applyFill="1" applyProtection="1"/>
    <xf numFmtId="0" fontId="38" fillId="0" borderId="0" xfId="0" applyFont="1"/>
    <xf numFmtId="49" fontId="19" fillId="2" borderId="0" xfId="8" applyNumberFormat="1" applyFont="1" applyFill="1" applyAlignment="1" applyProtection="1">
      <alignment vertical="center" wrapText="1"/>
      <protection locked="0"/>
    </xf>
    <xf numFmtId="49" fontId="16" fillId="0" borderId="0" xfId="8" applyNumberFormat="1" applyFont="1" applyAlignment="1" applyProtection="1">
      <alignment vertical="center" wrapText="1"/>
    </xf>
    <xf numFmtId="0" fontId="20" fillId="0" borderId="0" xfId="8" applyFont="1" applyFill="1" applyAlignment="1" applyProtection="1">
      <alignment vertical="center" wrapText="1"/>
      <protection locked="0"/>
    </xf>
    <xf numFmtId="0" fontId="20" fillId="0" borderId="0" xfId="8" applyFont="1" applyFill="1" applyAlignment="1" applyProtection="1"/>
    <xf numFmtId="0" fontId="21" fillId="0" borderId="0" xfId="8" applyFont="1" applyFill="1" applyAlignment="1" applyProtection="1">
      <alignment horizontal="center" vertical="center" wrapText="1"/>
      <protection locked="0"/>
    </xf>
    <xf numFmtId="0" fontId="39" fillId="0" borderId="2" xfId="14" applyNumberFormat="1" applyFont="1" applyFill="1" applyBorder="1" applyAlignment="1" applyProtection="1">
      <alignment vertical="center" wrapText="1" shrinkToFit="1"/>
    </xf>
    <xf numFmtId="0" fontId="40" fillId="2" borderId="3" xfId="8" applyFont="1" applyFill="1" applyBorder="1" applyAlignment="1" applyProtection="1">
      <alignment horizontal="center"/>
    </xf>
    <xf numFmtId="0" fontId="40" fillId="7" borderId="3" xfId="8" applyFont="1" applyFill="1" applyBorder="1" applyAlignment="1" applyProtection="1">
      <alignment horizontal="center"/>
    </xf>
    <xf numFmtId="0" fontId="40" fillId="2" borderId="4" xfId="8" applyFont="1" applyFill="1" applyBorder="1" applyAlignment="1" applyProtection="1">
      <alignment horizontal="center"/>
    </xf>
    <xf numFmtId="0" fontId="22" fillId="3" borderId="5" xfId="8" applyFont="1" applyFill="1" applyBorder="1" applyAlignment="1" applyProtection="1">
      <alignment vertical="center"/>
    </xf>
    <xf numFmtId="43" fontId="41" fillId="3" borderId="0" xfId="1" applyNumberFormat="1" applyFont="1" applyFill="1" applyBorder="1" applyAlignment="1">
      <alignment horizontal="right"/>
    </xf>
    <xf numFmtId="43" fontId="41" fillId="8" borderId="0" xfId="1" applyNumberFormat="1" applyFont="1" applyFill="1" applyBorder="1" applyAlignment="1">
      <alignment horizontal="right"/>
    </xf>
    <xf numFmtId="43" fontId="41" fillId="3" borderId="6" xfId="1" applyNumberFormat="1" applyFont="1" applyFill="1" applyBorder="1" applyAlignment="1">
      <alignment horizontal="right"/>
    </xf>
    <xf numFmtId="49" fontId="22" fillId="0" borderId="5" xfId="14" applyNumberFormat="1" applyFont="1" applyFill="1" applyBorder="1" applyAlignment="1" applyProtection="1">
      <alignment vertical="center" wrapText="1" shrinkToFit="1"/>
    </xf>
    <xf numFmtId="43" fontId="22" fillId="0" borderId="0" xfId="1" applyNumberFormat="1" applyFont="1" applyFill="1" applyBorder="1" applyAlignment="1" applyProtection="1">
      <alignment horizontal="right" vertical="center" wrapText="1" shrinkToFit="1"/>
    </xf>
    <xf numFmtId="43" fontId="22" fillId="7" borderId="0" xfId="1" applyNumberFormat="1" applyFont="1" applyFill="1" applyBorder="1" applyAlignment="1" applyProtection="1">
      <alignment horizontal="right" vertical="center" wrapText="1" shrinkToFit="1"/>
    </xf>
    <xf numFmtId="43" fontId="22" fillId="0" borderId="6" xfId="1" applyNumberFormat="1" applyFont="1" applyFill="1" applyBorder="1" applyAlignment="1" applyProtection="1">
      <alignment horizontal="right" vertical="center" wrapText="1" shrinkToFit="1"/>
    </xf>
    <xf numFmtId="0" fontId="23" fillId="4" borderId="7" xfId="8" applyFont="1" applyFill="1" applyBorder="1" applyAlignment="1" applyProtection="1">
      <alignment horizontal="left" vertical="center"/>
    </xf>
    <xf numFmtId="43" fontId="42" fillId="4" borderId="8" xfId="1" applyNumberFormat="1" applyFont="1" applyFill="1" applyBorder="1" applyAlignment="1">
      <alignment horizontal="right"/>
    </xf>
    <xf numFmtId="43" fontId="41" fillId="4" borderId="8" xfId="1" applyNumberFormat="1" applyFont="1" applyFill="1" applyBorder="1" applyAlignment="1">
      <alignment horizontal="right"/>
    </xf>
    <xf numFmtId="43" fontId="41" fillId="7" borderId="8" xfId="1" applyNumberFormat="1" applyFont="1" applyFill="1" applyBorder="1" applyAlignment="1">
      <alignment horizontal="right"/>
    </xf>
    <xf numFmtId="43" fontId="41" fillId="8" borderId="8" xfId="1" applyNumberFormat="1" applyFont="1" applyFill="1" applyBorder="1" applyAlignment="1">
      <alignment horizontal="right"/>
    </xf>
    <xf numFmtId="43" fontId="41" fillId="4" borderId="9" xfId="1" applyNumberFormat="1" applyFont="1" applyFill="1" applyBorder="1" applyAlignment="1">
      <alignment horizontal="right"/>
    </xf>
    <xf numFmtId="0" fontId="23" fillId="4" borderId="10" xfId="8" applyFont="1" applyFill="1" applyBorder="1" applyAlignment="1" applyProtection="1">
      <alignment horizontal="left" vertical="center"/>
    </xf>
    <xf numFmtId="43" fontId="41" fillId="4" borderId="11" xfId="1" applyNumberFormat="1" applyFont="1" applyFill="1" applyBorder="1" applyAlignment="1">
      <alignment horizontal="right"/>
    </xf>
    <xf numFmtId="10" fontId="41" fillId="4" borderId="11" xfId="20" applyNumberFormat="1" applyFont="1" applyFill="1" applyBorder="1" applyAlignment="1">
      <alignment horizontal="right"/>
    </xf>
    <xf numFmtId="10" fontId="41" fillId="8" borderId="11" xfId="20" applyNumberFormat="1" applyFont="1" applyFill="1" applyBorder="1" applyAlignment="1">
      <alignment horizontal="right"/>
    </xf>
    <xf numFmtId="10" fontId="41" fillId="4" borderId="12" xfId="20" applyNumberFormat="1" applyFont="1" applyFill="1" applyBorder="1" applyAlignment="1">
      <alignment horizontal="right"/>
    </xf>
    <xf numFmtId="0" fontId="23" fillId="0" borderId="0" xfId="8" applyFont="1" applyFill="1" applyBorder="1" applyAlignment="1" applyProtection="1">
      <alignment horizontal="left" vertical="center"/>
    </xf>
    <xf numFmtId="0" fontId="23" fillId="0" borderId="0" xfId="8" applyFont="1" applyFill="1" applyBorder="1" applyAlignment="1" applyProtection="1">
      <alignment horizontal="right" vertical="center"/>
    </xf>
    <xf numFmtId="43" fontId="41" fillId="0" borderId="0" xfId="1" applyNumberFormat="1" applyFont="1" applyFill="1" applyBorder="1" applyAlignment="1">
      <alignment horizontal="right"/>
    </xf>
    <xf numFmtId="0" fontId="43" fillId="0" borderId="2" xfId="14" applyNumberFormat="1" applyFont="1" applyFill="1" applyBorder="1" applyAlignment="1" applyProtection="1">
      <alignment vertical="center" wrapText="1" shrinkToFit="1"/>
    </xf>
    <xf numFmtId="0" fontId="44" fillId="2" borderId="3" xfId="8" applyFont="1" applyFill="1" applyBorder="1" applyAlignment="1" applyProtection="1">
      <alignment horizontal="center"/>
    </xf>
    <xf numFmtId="0" fontId="44" fillId="7" borderId="3" xfId="8" applyFont="1" applyFill="1" applyBorder="1" applyAlignment="1" applyProtection="1">
      <alignment horizontal="center"/>
    </xf>
    <xf numFmtId="0" fontId="44" fillId="2" borderId="4" xfId="8" applyFont="1" applyFill="1" applyBorder="1" applyAlignment="1" applyProtection="1">
      <alignment horizontal="center"/>
    </xf>
    <xf numFmtId="0" fontId="22" fillId="0" borderId="5" xfId="8" applyFont="1" applyFill="1" applyBorder="1" applyAlignment="1" applyProtection="1">
      <alignment horizontal="left" vertical="center"/>
    </xf>
    <xf numFmtId="0" fontId="22" fillId="2" borderId="5" xfId="8" applyFont="1" applyFill="1" applyBorder="1" applyAlignment="1" applyProtection="1">
      <alignment horizontal="left" vertical="center"/>
    </xf>
    <xf numFmtId="43" fontId="23" fillId="4" borderId="8" xfId="8" applyNumberFormat="1" applyFont="1" applyFill="1" applyBorder="1" applyAlignment="1" applyProtection="1">
      <alignment horizontal="right" vertical="center"/>
    </xf>
    <xf numFmtId="43" fontId="42" fillId="4" borderId="9" xfId="1" applyNumberFormat="1" applyFont="1" applyFill="1" applyBorder="1" applyAlignment="1">
      <alignment horizontal="right"/>
    </xf>
    <xf numFmtId="43" fontId="23" fillId="4" borderId="11" xfId="8" applyNumberFormat="1" applyFont="1" applyFill="1" applyBorder="1" applyAlignment="1" applyProtection="1">
      <alignment horizontal="right" vertical="center"/>
    </xf>
    <xf numFmtId="0" fontId="16" fillId="2" borderId="0" xfId="8" applyFont="1" applyFill="1" applyBorder="1" applyProtection="1"/>
    <xf numFmtId="10" fontId="41" fillId="0" borderId="0" xfId="20" applyNumberFormat="1" applyFont="1" applyFill="1" applyBorder="1" applyAlignment="1">
      <alignment horizontal="right"/>
    </xf>
    <xf numFmtId="43" fontId="16" fillId="2" borderId="0" xfId="8" applyNumberFormat="1" applyFont="1" applyFill="1" applyBorder="1" applyProtection="1"/>
    <xf numFmtId="43" fontId="16" fillId="2" borderId="0" xfId="8" applyNumberFormat="1" applyFont="1" applyFill="1" applyProtection="1"/>
    <xf numFmtId="0" fontId="19" fillId="2" borderId="0" xfId="8" applyFont="1" applyFill="1" applyAlignment="1" applyProtection="1"/>
    <xf numFmtId="9" fontId="24" fillId="2" borderId="0" xfId="8" applyNumberFormat="1" applyFont="1" applyFill="1" applyAlignment="1" applyProtection="1">
      <alignment horizontal="center"/>
    </xf>
    <xf numFmtId="9" fontId="24" fillId="0" borderId="0" xfId="8" applyNumberFormat="1" applyFont="1" applyAlignment="1" applyProtection="1">
      <alignment horizontal="center"/>
    </xf>
    <xf numFmtId="0" fontId="25" fillId="2" borderId="0" xfId="8" applyFont="1" applyFill="1" applyAlignment="1" applyProtection="1">
      <alignment horizontal="right"/>
    </xf>
    <xf numFmtId="0" fontId="16" fillId="0" borderId="0" xfId="8" applyFont="1" applyProtection="1"/>
    <xf numFmtId="0" fontId="16" fillId="0" borderId="0" xfId="8" applyFont="1" applyFill="1" applyAlignment="1" applyProtection="1">
      <alignment horizontal="center"/>
    </xf>
    <xf numFmtId="0" fontId="16" fillId="0" borderId="0" xfId="8" applyFont="1" applyFill="1" applyProtection="1"/>
    <xf numFmtId="0" fontId="17" fillId="0" borderId="0" xfId="8" applyFont="1" applyProtection="1"/>
    <xf numFmtId="0" fontId="16" fillId="0" borderId="0" xfId="8" applyFont="1"/>
    <xf numFmtId="0" fontId="18" fillId="0" borderId="0" xfId="8" applyFont="1" applyFill="1" applyAlignment="1" applyProtection="1">
      <alignment horizontal="center" vertical="center" wrapText="1"/>
      <protection locked="0"/>
    </xf>
    <xf numFmtId="0" fontId="16" fillId="0" borderId="13" xfId="8" applyFont="1" applyFill="1" applyBorder="1" applyAlignment="1" applyProtection="1">
      <alignment horizontal="center"/>
    </xf>
    <xf numFmtId="9" fontId="24" fillId="2" borderId="0" xfId="8" applyNumberFormat="1" applyFont="1" applyFill="1" applyBorder="1" applyAlignment="1" applyProtection="1">
      <alignment horizontal="center"/>
    </xf>
    <xf numFmtId="0" fontId="16" fillId="0" borderId="0" xfId="8" applyFont="1" applyFill="1" applyBorder="1" applyAlignment="1" applyProtection="1">
      <alignment horizontal="center"/>
    </xf>
    <xf numFmtId="0" fontId="16" fillId="0" borderId="0" xfId="8" applyFont="1" applyFill="1" applyBorder="1" applyAlignment="1" applyProtection="1">
      <alignment horizontal="center" vertical="top"/>
    </xf>
    <xf numFmtId="0" fontId="16" fillId="0" borderId="0" xfId="8" applyFont="1" applyFill="1" applyBorder="1" applyAlignment="1" applyProtection="1">
      <alignment horizontal="center" vertical="top" wrapText="1"/>
    </xf>
    <xf numFmtId="0" fontId="45" fillId="2" borderId="0" xfId="8" applyFont="1" applyFill="1" applyProtection="1"/>
    <xf numFmtId="0" fontId="37" fillId="0" borderId="1" xfId="14" applyNumberFormat="1" applyFont="1" applyFill="1" applyBorder="1" applyAlignment="1" applyProtection="1">
      <alignment horizontal="center" vertical="center" wrapText="1" shrinkToFit="1"/>
    </xf>
    <xf numFmtId="4" fontId="0" fillId="0" borderId="0" xfId="0" applyNumberFormat="1"/>
    <xf numFmtId="10" fontId="34" fillId="0" borderId="1" xfId="20" applyNumberFormat="1" applyFont="1" applyFill="1" applyBorder="1"/>
    <xf numFmtId="43" fontId="34" fillId="0" borderId="1" xfId="20" applyNumberFormat="1" applyFont="1" applyFill="1" applyBorder="1"/>
    <xf numFmtId="43" fontId="0" fillId="0" borderId="0" xfId="0" applyNumberFormat="1"/>
    <xf numFmtId="43" fontId="0" fillId="0" borderId="0" xfId="0" applyNumberFormat="1"/>
    <xf numFmtId="43" fontId="0" fillId="0" borderId="0" xfId="0" applyNumberFormat="1"/>
    <xf numFmtId="0" fontId="27" fillId="2" borderId="0" xfId="8" applyFont="1" applyFill="1" applyProtection="1"/>
    <xf numFmtId="0" fontId="28" fillId="0" borderId="0" xfId="8" applyFont="1" applyFill="1" applyAlignment="1" applyProtection="1">
      <alignment horizontal="center" vertical="center" wrapText="1"/>
      <protection locked="0"/>
    </xf>
    <xf numFmtId="0" fontId="46" fillId="0" borderId="2" xfId="14" applyNumberFormat="1" applyFont="1" applyFill="1" applyBorder="1" applyAlignment="1" applyProtection="1">
      <alignment vertical="center" wrapText="1" shrinkToFit="1"/>
    </xf>
    <xf numFmtId="0" fontId="46" fillId="2" borderId="3" xfId="8" applyFont="1" applyFill="1" applyBorder="1" applyAlignment="1" applyProtection="1">
      <alignment horizontal="center"/>
    </xf>
    <xf numFmtId="0" fontId="46" fillId="7" borderId="3" xfId="8" applyFont="1" applyFill="1" applyBorder="1" applyAlignment="1" applyProtection="1">
      <alignment horizontal="center"/>
    </xf>
    <xf numFmtId="0" fontId="46" fillId="2" borderId="4" xfId="8" applyFont="1" applyFill="1" applyBorder="1" applyAlignment="1" applyProtection="1">
      <alignment horizontal="center"/>
    </xf>
    <xf numFmtId="0" fontId="47" fillId="0" borderId="0" xfId="0" applyFont="1"/>
    <xf numFmtId="0" fontId="27" fillId="3" borderId="5" xfId="8" applyFont="1" applyFill="1" applyBorder="1" applyAlignment="1" applyProtection="1">
      <alignment vertical="center"/>
    </xf>
    <xf numFmtId="43" fontId="47" fillId="3" borderId="0" xfId="1" applyNumberFormat="1" applyFont="1" applyFill="1" applyBorder="1" applyAlignment="1">
      <alignment horizontal="right"/>
    </xf>
    <xf numFmtId="43" fontId="47" fillId="8" borderId="0" xfId="1" applyNumberFormat="1" applyFont="1" applyFill="1" applyBorder="1" applyAlignment="1">
      <alignment horizontal="right"/>
    </xf>
    <xf numFmtId="43" fontId="47" fillId="3" borderId="6" xfId="1" applyNumberFormat="1" applyFont="1" applyFill="1" applyBorder="1" applyAlignment="1">
      <alignment horizontal="right"/>
    </xf>
    <xf numFmtId="49" fontId="27" fillId="0" borderId="5" xfId="14" applyNumberFormat="1" applyFont="1" applyFill="1" applyBorder="1" applyAlignment="1" applyProtection="1">
      <alignment vertical="center" wrapText="1" shrinkToFit="1"/>
    </xf>
    <xf numFmtId="43" fontId="27" fillId="0" borderId="0" xfId="1" applyNumberFormat="1" applyFont="1" applyFill="1" applyBorder="1" applyAlignment="1" applyProtection="1">
      <alignment horizontal="right" vertical="center" wrapText="1" shrinkToFit="1"/>
    </xf>
    <xf numFmtId="43" fontId="27" fillId="7" borderId="0" xfId="1" applyNumberFormat="1" applyFont="1" applyFill="1" applyBorder="1" applyAlignment="1" applyProtection="1">
      <alignment horizontal="right" vertical="center" wrapText="1" shrinkToFit="1"/>
    </xf>
    <xf numFmtId="43" fontId="27" fillId="0" borderId="6" xfId="1" applyNumberFormat="1" applyFont="1" applyFill="1" applyBorder="1" applyAlignment="1" applyProtection="1">
      <alignment horizontal="right" vertical="center" wrapText="1" shrinkToFit="1"/>
    </xf>
    <xf numFmtId="0" fontId="27" fillId="4" borderId="7" xfId="8" applyFont="1" applyFill="1" applyBorder="1" applyAlignment="1" applyProtection="1">
      <alignment horizontal="left" vertical="center"/>
    </xf>
    <xf numFmtId="43" fontId="47" fillId="4" borderId="8" xfId="1" applyNumberFormat="1" applyFont="1" applyFill="1" applyBorder="1" applyAlignment="1">
      <alignment horizontal="right"/>
    </xf>
    <xf numFmtId="43" fontId="47" fillId="8" borderId="8" xfId="1" applyNumberFormat="1" applyFont="1" applyFill="1" applyBorder="1" applyAlignment="1">
      <alignment horizontal="right"/>
    </xf>
    <xf numFmtId="43" fontId="47" fillId="4" borderId="9" xfId="1" applyNumberFormat="1" applyFont="1" applyFill="1" applyBorder="1" applyAlignment="1">
      <alignment horizontal="right"/>
    </xf>
    <xf numFmtId="0" fontId="27" fillId="4" borderId="10" xfId="8" applyFont="1" applyFill="1" applyBorder="1" applyAlignment="1" applyProtection="1">
      <alignment horizontal="left" vertical="center"/>
    </xf>
    <xf numFmtId="43" fontId="47" fillId="4" borderId="11" xfId="1" applyNumberFormat="1" applyFont="1" applyFill="1" applyBorder="1" applyAlignment="1">
      <alignment horizontal="right"/>
    </xf>
    <xf numFmtId="10" fontId="47" fillId="4" borderId="11" xfId="20" applyNumberFormat="1" applyFont="1" applyFill="1" applyBorder="1" applyAlignment="1">
      <alignment horizontal="right"/>
    </xf>
    <xf numFmtId="10" fontId="47" fillId="8" borderId="11" xfId="20" applyNumberFormat="1" applyFont="1" applyFill="1" applyBorder="1" applyAlignment="1">
      <alignment horizontal="right"/>
    </xf>
    <xf numFmtId="10" fontId="47" fillId="4" borderId="12" xfId="20" applyNumberFormat="1" applyFont="1" applyFill="1" applyBorder="1" applyAlignment="1">
      <alignment horizontal="right"/>
    </xf>
    <xf numFmtId="0" fontId="27" fillId="0" borderId="0" xfId="8" applyFont="1" applyFill="1" applyBorder="1" applyAlignment="1" applyProtection="1">
      <alignment horizontal="left" vertical="center"/>
    </xf>
    <xf numFmtId="0" fontId="27" fillId="0" borderId="0" xfId="8" applyFont="1" applyFill="1" applyBorder="1" applyAlignment="1" applyProtection="1">
      <alignment horizontal="right" vertical="center"/>
    </xf>
    <xf numFmtId="43" fontId="47" fillId="0" borderId="0" xfId="1" applyNumberFormat="1" applyFont="1" applyFill="1" applyBorder="1" applyAlignment="1">
      <alignment horizontal="right"/>
    </xf>
    <xf numFmtId="0" fontId="48" fillId="0" borderId="2" xfId="14" applyNumberFormat="1" applyFont="1" applyFill="1" applyBorder="1" applyAlignment="1" applyProtection="1">
      <alignment vertical="center" wrapText="1" shrinkToFit="1"/>
    </xf>
    <xf numFmtId="0" fontId="48" fillId="2" borderId="3" xfId="8" applyFont="1" applyFill="1" applyBorder="1" applyAlignment="1" applyProtection="1">
      <alignment horizontal="center"/>
    </xf>
    <xf numFmtId="0" fontId="48" fillId="7" borderId="3" xfId="8" applyFont="1" applyFill="1" applyBorder="1" applyAlignment="1" applyProtection="1">
      <alignment horizontal="center"/>
    </xf>
    <xf numFmtId="0" fontId="48" fillId="2" borderId="4" xfId="8" applyFont="1" applyFill="1" applyBorder="1" applyAlignment="1" applyProtection="1">
      <alignment horizontal="center"/>
    </xf>
    <xf numFmtId="0" fontId="27" fillId="0" borderId="5" xfId="8" applyFont="1" applyFill="1" applyBorder="1" applyAlignment="1" applyProtection="1">
      <alignment horizontal="left" vertical="center"/>
    </xf>
    <xf numFmtId="0" fontId="27" fillId="2" borderId="5" xfId="8" applyFont="1" applyFill="1" applyBorder="1" applyAlignment="1" applyProtection="1">
      <alignment horizontal="left" vertical="center"/>
    </xf>
    <xf numFmtId="43" fontId="27" fillId="4" borderId="8" xfId="8" applyNumberFormat="1" applyFont="1" applyFill="1" applyBorder="1" applyAlignment="1" applyProtection="1">
      <alignment horizontal="right" vertical="center"/>
    </xf>
    <xf numFmtId="43" fontId="27" fillId="4" borderId="11" xfId="8" applyNumberFormat="1" applyFont="1" applyFill="1" applyBorder="1" applyAlignment="1" applyProtection="1">
      <alignment horizontal="right" vertical="center"/>
    </xf>
    <xf numFmtId="0" fontId="27" fillId="2" borderId="0" xfId="8" applyFont="1" applyFill="1" applyBorder="1" applyProtection="1"/>
    <xf numFmtId="10" fontId="47" fillId="0" borderId="0" xfId="20" applyNumberFormat="1" applyFont="1" applyFill="1" applyBorder="1" applyAlignment="1">
      <alignment horizontal="right"/>
    </xf>
    <xf numFmtId="43" fontId="27" fillId="2" borderId="0" xfId="8" applyNumberFormat="1" applyFont="1" applyFill="1" applyBorder="1" applyProtection="1"/>
    <xf numFmtId="43" fontId="27" fillId="2" borderId="0" xfId="8" applyNumberFormat="1" applyFont="1" applyFill="1" applyProtection="1"/>
    <xf numFmtId="0" fontId="29" fillId="0" borderId="0" xfId="8" applyFont="1" applyFill="1" applyAlignment="1" applyProtection="1">
      <alignment horizontal="center" vertical="top"/>
    </xf>
    <xf numFmtId="0" fontId="29" fillId="0" borderId="0" xfId="8" applyFont="1" applyFill="1" applyAlignment="1" applyProtection="1">
      <alignment horizontal="center" vertical="top" wrapText="1"/>
    </xf>
    <xf numFmtId="0" fontId="29" fillId="2" borderId="0" xfId="8" applyFont="1" applyFill="1" applyProtection="1"/>
    <xf numFmtId="0" fontId="49" fillId="0" borderId="0" xfId="0" applyFont="1"/>
    <xf numFmtId="0" fontId="50" fillId="0" borderId="0" xfId="0" applyFont="1"/>
    <xf numFmtId="0" fontId="29" fillId="0" borderId="0" xfId="8" applyFont="1" applyFill="1" applyBorder="1" applyAlignment="1" applyProtection="1">
      <alignment horizontal="center" vertical="top" wrapText="1"/>
    </xf>
    <xf numFmtId="0" fontId="29" fillId="0" borderId="0" xfId="8" applyFont="1" applyFill="1" applyBorder="1" applyAlignment="1" applyProtection="1">
      <alignment horizontal="center" vertical="top"/>
    </xf>
    <xf numFmtId="0" fontId="0" fillId="0" borderId="0" xfId="0"/>
    <xf numFmtId="0" fontId="16" fillId="0" borderId="13" xfId="9" applyFont="1" applyFill="1" applyBorder="1" applyAlignment="1" applyProtection="1">
      <alignment horizontal="center"/>
    </xf>
    <xf numFmtId="0" fontId="29" fillId="2" borderId="0" xfId="9" applyFont="1" applyFill="1" applyProtection="1"/>
    <xf numFmtId="0" fontId="49" fillId="0" borderId="0" xfId="0" applyFont="1"/>
    <xf numFmtId="0" fontId="37" fillId="0" borderId="1" xfId="14" applyNumberFormat="1" applyFont="1" applyFill="1" applyBorder="1" applyAlignment="1" applyProtection="1">
      <alignment horizontal="center" vertical="center" wrapText="1" shrinkToFit="1"/>
    </xf>
    <xf numFmtId="4" fontId="51" fillId="0" borderId="0" xfId="0" applyNumberFormat="1" applyFont="1"/>
    <xf numFmtId="43" fontId="52" fillId="0" borderId="1" xfId="1" applyNumberFormat="1" applyFont="1" applyFill="1" applyBorder="1"/>
    <xf numFmtId="43" fontId="52" fillId="3" borderId="1" xfId="1" applyNumberFormat="1" applyFont="1" applyFill="1" applyBorder="1"/>
    <xf numFmtId="4" fontId="53" fillId="0" borderId="0" xfId="0" applyNumberFormat="1" applyFont="1"/>
    <xf numFmtId="43" fontId="47" fillId="0" borderId="0" xfId="0" applyNumberFormat="1" applyFont="1"/>
    <xf numFmtId="4" fontId="54" fillId="0" borderId="0" xfId="0" applyNumberFormat="1" applyFont="1"/>
    <xf numFmtId="4" fontId="55" fillId="0" borderId="0" xfId="0" applyNumberFormat="1" applyFont="1"/>
    <xf numFmtId="0" fontId="7" fillId="6" borderId="14" xfId="8" applyFont="1" applyFill="1" applyBorder="1" applyAlignment="1" applyProtection="1">
      <alignment vertical="center"/>
    </xf>
    <xf numFmtId="4" fontId="55" fillId="0" borderId="1" xfId="0" applyNumberFormat="1" applyFont="1" applyBorder="1"/>
    <xf numFmtId="4" fontId="34" fillId="0" borderId="1" xfId="0" applyNumberFormat="1" applyFont="1" applyBorder="1"/>
    <xf numFmtId="4" fontId="56" fillId="0" borderId="1" xfId="0" applyNumberFormat="1" applyFont="1" applyBorder="1"/>
    <xf numFmtId="0" fontId="34" fillId="0" borderId="1" xfId="0" applyFont="1" applyBorder="1"/>
    <xf numFmtId="0" fontId="57" fillId="0" borderId="0" xfId="0" applyFont="1" applyAlignment="1">
      <alignment horizontal="center" vertical="center"/>
    </xf>
    <xf numFmtId="0" fontId="37" fillId="0" borderId="1" xfId="14" applyNumberFormat="1" applyFont="1" applyFill="1" applyBorder="1" applyAlignment="1" applyProtection="1">
      <alignment horizontal="center" vertical="center" wrapText="1" shrinkToFit="1"/>
    </xf>
    <xf numFmtId="4" fontId="58" fillId="0" borderId="0" xfId="0" applyNumberFormat="1" applyFont="1"/>
    <xf numFmtId="0" fontId="37" fillId="0" borderId="1" xfId="14" applyNumberFormat="1" applyFont="1" applyFill="1" applyBorder="1" applyAlignment="1" applyProtection="1">
      <alignment horizontal="center" vertical="center" wrapText="1" shrinkToFit="1"/>
    </xf>
    <xf numFmtId="10" fontId="16" fillId="2" borderId="0" xfId="8" applyNumberFormat="1" applyFont="1" applyFill="1" applyProtection="1"/>
    <xf numFmtId="9" fontId="16" fillId="2" borderId="0" xfId="8" applyNumberFormat="1" applyFont="1" applyFill="1" applyProtection="1"/>
    <xf numFmtId="0" fontId="46" fillId="0" borderId="5" xfId="14" applyNumberFormat="1" applyFont="1" applyFill="1" applyBorder="1" applyAlignment="1" applyProtection="1">
      <alignment vertical="center" wrapText="1" shrinkToFit="1"/>
    </xf>
    <xf numFmtId="43" fontId="27" fillId="7" borderId="6" xfId="1" applyNumberFormat="1" applyFont="1" applyFill="1" applyBorder="1" applyAlignment="1" applyProtection="1">
      <alignment horizontal="right" vertical="center" wrapText="1" shrinkToFit="1"/>
    </xf>
    <xf numFmtId="0" fontId="16" fillId="2" borderId="6" xfId="8" applyFont="1" applyFill="1" applyBorder="1" applyProtection="1"/>
    <xf numFmtId="49" fontId="27" fillId="0" borderId="10" xfId="14" applyNumberFormat="1" applyFont="1" applyFill="1" applyBorder="1" applyAlignment="1" applyProtection="1">
      <alignment vertical="center" wrapText="1" shrinkToFit="1"/>
    </xf>
    <xf numFmtId="43" fontId="27" fillId="0" borderId="11" xfId="1" applyNumberFormat="1" applyFont="1" applyFill="1" applyBorder="1" applyAlignment="1" applyProtection="1">
      <alignment horizontal="right" vertical="center" wrapText="1" shrinkToFit="1"/>
    </xf>
    <xf numFmtId="0" fontId="16" fillId="2" borderId="12" xfId="8" applyFont="1" applyFill="1" applyBorder="1" applyProtection="1"/>
    <xf numFmtId="0" fontId="46" fillId="2" borderId="15" xfId="8" applyFont="1" applyFill="1" applyBorder="1" applyAlignment="1" applyProtection="1">
      <alignment horizontal="center"/>
    </xf>
    <xf numFmtId="0" fontId="48" fillId="2" borderId="15" xfId="8" applyFont="1" applyFill="1" applyBorder="1" applyAlignment="1" applyProtection="1">
      <alignment horizontal="center"/>
    </xf>
    <xf numFmtId="43" fontId="27" fillId="9" borderId="0" xfId="8" applyNumberFormat="1" applyFont="1" applyFill="1" applyProtection="1"/>
    <xf numFmtId="0" fontId="27" fillId="9" borderId="0" xfId="8" applyFont="1" applyFill="1" applyProtection="1"/>
    <xf numFmtId="0" fontId="16" fillId="9" borderId="0" xfId="8" applyFont="1" applyFill="1" applyProtection="1"/>
    <xf numFmtId="43" fontId="0" fillId="9" borderId="0" xfId="0" applyNumberFormat="1" applyFill="1"/>
    <xf numFmtId="43" fontId="16" fillId="9" borderId="0" xfId="8" applyNumberFormat="1" applyFont="1" applyFill="1" applyProtection="1"/>
    <xf numFmtId="0" fontId="45" fillId="9" borderId="0" xfId="8" applyFont="1" applyFill="1" applyProtection="1"/>
    <xf numFmtId="0" fontId="19" fillId="9" borderId="0" xfId="8" applyFont="1" applyFill="1" applyAlignment="1" applyProtection="1"/>
    <xf numFmtId="9" fontId="24" fillId="9" borderId="0" xfId="8" applyNumberFormat="1" applyFont="1" applyFill="1" applyAlignment="1" applyProtection="1">
      <alignment horizontal="center"/>
    </xf>
    <xf numFmtId="0" fontId="16" fillId="9" borderId="0" xfId="8" applyFont="1" applyFill="1" applyBorder="1" applyAlignment="1" applyProtection="1">
      <alignment horizontal="center"/>
    </xf>
    <xf numFmtId="0" fontId="16" fillId="9" borderId="0" xfId="8" applyFont="1" applyFill="1" applyAlignment="1" applyProtection="1">
      <alignment horizontal="center"/>
    </xf>
    <xf numFmtId="0" fontId="29" fillId="9" borderId="16" xfId="9" applyFont="1" applyFill="1" applyBorder="1" applyAlignment="1" applyProtection="1">
      <alignment horizontal="center" vertical="top" wrapText="1"/>
    </xf>
    <xf numFmtId="43" fontId="0" fillId="9" borderId="0" xfId="0" applyNumberFormat="1" applyFill="1" applyAlignment="1">
      <alignment horizontal="center"/>
    </xf>
    <xf numFmtId="0" fontId="32" fillId="9" borderId="0" xfId="8" applyFont="1" applyFill="1" applyAlignment="1" applyProtection="1">
      <alignment horizontal="center"/>
    </xf>
    <xf numFmtId="0" fontId="46" fillId="2" borderId="17" xfId="8" applyFont="1" applyFill="1" applyBorder="1" applyAlignment="1" applyProtection="1">
      <alignment horizontal="center"/>
    </xf>
    <xf numFmtId="43" fontId="47" fillId="3" borderId="18" xfId="1" applyNumberFormat="1" applyFont="1" applyFill="1" applyBorder="1" applyAlignment="1">
      <alignment horizontal="right"/>
    </xf>
    <xf numFmtId="43" fontId="27" fillId="0" borderId="18" xfId="1" applyNumberFormat="1" applyFont="1" applyFill="1" applyBorder="1" applyAlignment="1" applyProtection="1">
      <alignment horizontal="right" vertical="center" wrapText="1" shrinkToFit="1"/>
    </xf>
    <xf numFmtId="43" fontId="27" fillId="0" borderId="19" xfId="1" applyNumberFormat="1" applyFont="1" applyFill="1" applyBorder="1" applyAlignment="1" applyProtection="1">
      <alignment horizontal="right" vertical="center" wrapText="1" shrinkToFit="1"/>
    </xf>
    <xf numFmtId="43" fontId="47" fillId="4" borderId="15" xfId="1" applyNumberFormat="1" applyFont="1" applyFill="1" applyBorder="1" applyAlignment="1">
      <alignment horizontal="right"/>
    </xf>
    <xf numFmtId="43" fontId="47" fillId="4" borderId="19" xfId="1" applyNumberFormat="1" applyFont="1" applyFill="1" applyBorder="1" applyAlignment="1">
      <alignment horizontal="right"/>
    </xf>
    <xf numFmtId="0" fontId="38" fillId="0" borderId="6" xfId="0" applyFont="1" applyBorder="1"/>
    <xf numFmtId="43" fontId="47" fillId="3" borderId="5" xfId="1" applyNumberFormat="1" applyFont="1" applyFill="1" applyBorder="1" applyAlignment="1">
      <alignment horizontal="right"/>
    </xf>
    <xf numFmtId="43" fontId="27" fillId="0" borderId="5" xfId="1" applyNumberFormat="1" applyFont="1" applyFill="1" applyBorder="1" applyAlignment="1" applyProtection="1">
      <alignment horizontal="right" vertical="center" wrapText="1" shrinkToFit="1"/>
    </xf>
    <xf numFmtId="43" fontId="27" fillId="0" borderId="10" xfId="1" applyNumberFormat="1" applyFont="1" applyFill="1" applyBorder="1" applyAlignment="1" applyProtection="1">
      <alignment horizontal="right" vertical="center" wrapText="1" shrinkToFit="1"/>
    </xf>
    <xf numFmtId="43" fontId="27" fillId="0" borderId="12" xfId="1" applyNumberFormat="1" applyFont="1" applyFill="1" applyBorder="1" applyAlignment="1" applyProtection="1">
      <alignment horizontal="right" vertical="center" wrapText="1" shrinkToFit="1"/>
    </xf>
    <xf numFmtId="43" fontId="47" fillId="4" borderId="7" xfId="1" applyNumberFormat="1" applyFont="1" applyFill="1" applyBorder="1" applyAlignment="1">
      <alignment horizontal="right"/>
    </xf>
    <xf numFmtId="10" fontId="47" fillId="4" borderId="10" xfId="20" applyNumberFormat="1" applyFont="1" applyFill="1" applyBorder="1" applyAlignment="1">
      <alignment horizontal="right"/>
    </xf>
    <xf numFmtId="0" fontId="48" fillId="0" borderId="17" xfId="14" applyNumberFormat="1" applyFont="1" applyFill="1" applyBorder="1" applyAlignment="1" applyProtection="1">
      <alignment vertical="center" wrapText="1" shrinkToFit="1"/>
    </xf>
    <xf numFmtId="0" fontId="48" fillId="0" borderId="18" xfId="14" applyNumberFormat="1" applyFont="1" applyFill="1" applyBorder="1" applyAlignment="1" applyProtection="1">
      <alignment vertical="center" wrapText="1" shrinkToFit="1"/>
    </xf>
    <xf numFmtId="0" fontId="27" fillId="3" borderId="18" xfId="8" applyFont="1" applyFill="1" applyBorder="1" applyAlignment="1" applyProtection="1">
      <alignment vertical="center"/>
    </xf>
    <xf numFmtId="0" fontId="27" fillId="0" borderId="18" xfId="8" applyFont="1" applyFill="1" applyBorder="1" applyAlignment="1" applyProtection="1">
      <alignment horizontal="left" vertical="center"/>
    </xf>
    <xf numFmtId="0" fontId="27" fillId="2" borderId="18" xfId="8" applyFont="1" applyFill="1" applyBorder="1" applyAlignment="1" applyProtection="1">
      <alignment horizontal="left" vertical="center"/>
    </xf>
    <xf numFmtId="0" fontId="27" fillId="4" borderId="15" xfId="8" applyFont="1" applyFill="1" applyBorder="1" applyAlignment="1" applyProtection="1">
      <alignment horizontal="left" vertical="center"/>
    </xf>
    <xf numFmtId="0" fontId="27" fillId="4" borderId="19" xfId="8" applyFont="1" applyFill="1" applyBorder="1" applyAlignment="1" applyProtection="1">
      <alignment horizontal="left" vertical="center"/>
    </xf>
    <xf numFmtId="0" fontId="48" fillId="2" borderId="18" xfId="8" applyFont="1" applyFill="1" applyBorder="1" applyAlignment="1" applyProtection="1">
      <alignment horizontal="center"/>
    </xf>
    <xf numFmtId="43" fontId="27" fillId="4" borderId="15" xfId="8" applyNumberFormat="1" applyFont="1" applyFill="1" applyBorder="1" applyAlignment="1" applyProtection="1">
      <alignment horizontal="right" vertical="center"/>
    </xf>
    <xf numFmtId="43" fontId="27" fillId="4" borderId="19" xfId="8" applyNumberFormat="1" applyFont="1" applyFill="1" applyBorder="1" applyAlignment="1" applyProtection="1">
      <alignment horizontal="right" vertical="center"/>
    </xf>
    <xf numFmtId="0" fontId="48" fillId="2" borderId="6" xfId="8" applyFont="1" applyFill="1" applyBorder="1" applyAlignment="1" applyProtection="1">
      <alignment horizontal="center"/>
    </xf>
    <xf numFmtId="43" fontId="27" fillId="7" borderId="5" xfId="1" applyNumberFormat="1" applyFont="1" applyFill="1" applyBorder="1" applyAlignment="1" applyProtection="1">
      <alignment horizontal="right" vertical="center" wrapText="1" shrinkToFit="1"/>
    </xf>
    <xf numFmtId="0" fontId="29" fillId="9" borderId="0" xfId="9" applyFont="1" applyFill="1" applyBorder="1" applyAlignment="1" applyProtection="1">
      <alignment horizontal="center" vertical="top" wrapText="1"/>
    </xf>
    <xf numFmtId="0" fontId="38" fillId="9" borderId="0" xfId="0" applyFont="1" applyFill="1"/>
    <xf numFmtId="43" fontId="27" fillId="7" borderId="10" xfId="1" applyNumberFormat="1" applyFont="1" applyFill="1" applyBorder="1" applyAlignment="1" applyProtection="1">
      <alignment horizontal="right" vertical="center" wrapText="1" shrinkToFit="1"/>
    </xf>
    <xf numFmtId="43" fontId="27" fillId="7" borderId="7" xfId="1" applyNumberFormat="1" applyFont="1" applyFill="1" applyBorder="1" applyAlignment="1" applyProtection="1">
      <alignment horizontal="right" vertical="center" wrapText="1" shrinkToFit="1"/>
    </xf>
    <xf numFmtId="43" fontId="27" fillId="7" borderId="9" xfId="1" applyNumberFormat="1" applyFont="1" applyFill="1" applyBorder="1" applyAlignment="1" applyProtection="1">
      <alignment horizontal="right" vertical="center" wrapText="1" shrinkToFit="1"/>
    </xf>
    <xf numFmtId="9" fontId="27" fillId="7" borderId="7" xfId="20" applyFont="1" applyFill="1" applyBorder="1" applyAlignment="1" applyProtection="1">
      <alignment horizontal="right" vertical="center" wrapText="1" shrinkToFit="1"/>
    </xf>
    <xf numFmtId="9" fontId="27" fillId="7" borderId="9" xfId="20" applyFont="1" applyFill="1" applyBorder="1" applyAlignment="1" applyProtection="1">
      <alignment horizontal="right" vertical="center" wrapText="1" shrinkToFit="1"/>
    </xf>
    <xf numFmtId="43" fontId="27" fillId="7" borderId="15" xfId="1" applyNumberFormat="1" applyFont="1" applyFill="1" applyBorder="1" applyAlignment="1" applyProtection="1">
      <alignment horizontal="right" vertical="center" wrapText="1" shrinkToFit="1"/>
    </xf>
    <xf numFmtId="9" fontId="47" fillId="4" borderId="12" xfId="20" applyFont="1" applyFill="1" applyBorder="1" applyAlignment="1">
      <alignment horizontal="right"/>
    </xf>
    <xf numFmtId="0" fontId="27" fillId="9" borderId="0" xfId="8" applyFont="1" applyFill="1" applyBorder="1" applyProtection="1"/>
    <xf numFmtId="43" fontId="27" fillId="9" borderId="0" xfId="8" applyNumberFormat="1" applyFont="1" applyFill="1" applyBorder="1" applyProtection="1"/>
    <xf numFmtId="4" fontId="58" fillId="9" borderId="0" xfId="0" applyNumberFormat="1" applyFont="1" applyFill="1"/>
    <xf numFmtId="4" fontId="0" fillId="9" borderId="0" xfId="0" applyNumberFormat="1" applyFill="1"/>
    <xf numFmtId="10" fontId="16" fillId="9" borderId="0" xfId="8" applyNumberFormat="1" applyFont="1" applyFill="1" applyProtection="1"/>
    <xf numFmtId="0" fontId="61" fillId="9" borderId="0" xfId="8" applyFont="1" applyFill="1" applyProtection="1"/>
    <xf numFmtId="9" fontId="16" fillId="9" borderId="0" xfId="8" applyNumberFormat="1" applyFont="1" applyFill="1" applyProtection="1"/>
    <xf numFmtId="0" fontId="16" fillId="9" borderId="13" xfId="8" applyFont="1" applyFill="1" applyBorder="1" applyAlignment="1" applyProtection="1">
      <alignment horizontal="center"/>
    </xf>
    <xf numFmtId="0" fontId="29" fillId="9" borderId="0" xfId="8" applyFont="1" applyFill="1" applyAlignment="1" applyProtection="1">
      <alignment horizontal="center" vertical="top"/>
    </xf>
    <xf numFmtId="0" fontId="29" fillId="9" borderId="0" xfId="8" applyFont="1" applyFill="1" applyAlignment="1" applyProtection="1">
      <alignment horizontal="center" vertical="top" wrapText="1"/>
    </xf>
    <xf numFmtId="0" fontId="29" fillId="9" borderId="0" xfId="8" applyFont="1" applyFill="1" applyBorder="1" applyAlignment="1" applyProtection="1">
      <alignment horizontal="center" vertical="top" wrapText="1"/>
    </xf>
    <xf numFmtId="0" fontId="29" fillId="9" borderId="0" xfId="8" applyFont="1" applyFill="1" applyBorder="1" applyAlignment="1" applyProtection="1">
      <alignment horizontal="center" vertical="top"/>
    </xf>
    <xf numFmtId="0" fontId="16" fillId="9" borderId="13" xfId="9" applyFont="1" applyFill="1" applyBorder="1" applyAlignment="1" applyProtection="1">
      <alignment horizontal="center"/>
    </xf>
    <xf numFmtId="0" fontId="29" fillId="9" borderId="0" xfId="8" applyFont="1" applyFill="1" applyProtection="1"/>
    <xf numFmtId="0" fontId="29" fillId="9" borderId="0" xfId="9" applyFont="1" applyFill="1" applyProtection="1"/>
    <xf numFmtId="0" fontId="57" fillId="9" borderId="0" xfId="0" applyFont="1" applyFill="1" applyAlignment="1">
      <alignment horizontal="center" vertical="center"/>
    </xf>
    <xf numFmtId="0" fontId="49" fillId="9" borderId="0" xfId="0" applyFont="1" applyFill="1"/>
    <xf numFmtId="0" fontId="48" fillId="2" borderId="3" xfId="8" applyFont="1" applyFill="1" applyBorder="1" applyAlignment="1" applyProtection="1">
      <alignment horizontal="center" wrapText="1"/>
    </xf>
    <xf numFmtId="0" fontId="59" fillId="0" borderId="0" xfId="0" applyFont="1" applyAlignment="1">
      <alignment horizontal="left" wrapText="1"/>
    </xf>
    <xf numFmtId="0" fontId="4" fillId="0" borderId="0" xfId="14" applyNumberFormat="1" applyFont="1" applyFill="1" applyBorder="1" applyAlignment="1" applyProtection="1">
      <alignment horizontal="center" vertical="top" wrapText="1" shrinkToFit="1"/>
    </xf>
    <xf numFmtId="0" fontId="26" fillId="0" borderId="0" xfId="14" applyNumberFormat="1" applyFont="1" applyFill="1" applyBorder="1" applyAlignment="1" applyProtection="1">
      <alignment horizontal="center" vertical="top" wrapText="1" shrinkToFit="1"/>
    </xf>
    <xf numFmtId="0" fontId="9" fillId="0" borderId="22" xfId="14" applyNumberFormat="1" applyFont="1" applyFill="1" applyBorder="1" applyAlignment="1" applyProtection="1">
      <alignment horizontal="center" vertical="center" wrapText="1" shrinkToFit="1"/>
    </xf>
    <xf numFmtId="0" fontId="9" fillId="0" borderId="23" xfId="14" applyNumberFormat="1" applyFont="1" applyFill="1" applyBorder="1" applyAlignment="1" applyProtection="1">
      <alignment horizontal="center" vertical="center" wrapText="1" shrinkToFit="1"/>
    </xf>
    <xf numFmtId="0" fontId="9" fillId="0" borderId="1" xfId="14" applyNumberFormat="1" applyFont="1" applyFill="1" applyBorder="1" applyAlignment="1" applyProtection="1">
      <alignment horizontal="center" vertical="center" wrapText="1" shrinkToFit="1"/>
    </xf>
    <xf numFmtId="1" fontId="9" fillId="0" borderId="1" xfId="14" applyNumberFormat="1" applyFont="1" applyFill="1" applyBorder="1" applyAlignment="1" applyProtection="1">
      <alignment horizontal="center" vertical="center" wrapText="1" shrinkToFit="1"/>
    </xf>
    <xf numFmtId="1" fontId="9" fillId="0" borderId="14" xfId="14" applyNumberFormat="1" applyFont="1" applyFill="1" applyBorder="1" applyAlignment="1" applyProtection="1">
      <alignment horizontal="center" vertical="center" wrapText="1" shrinkToFit="1"/>
    </xf>
    <xf numFmtId="1" fontId="9" fillId="0" borderId="21" xfId="14" applyNumberFormat="1" applyFont="1" applyFill="1" applyBorder="1" applyAlignment="1" applyProtection="1">
      <alignment horizontal="center" vertical="center" wrapText="1" shrinkToFit="1"/>
    </xf>
    <xf numFmtId="43" fontId="60" fillId="5" borderId="14" xfId="1" applyNumberFormat="1" applyFont="1" applyFill="1" applyBorder="1" applyAlignment="1">
      <alignment horizontal="center"/>
    </xf>
    <xf numFmtId="43" fontId="60" fillId="5" borderId="20" xfId="1" applyNumberFormat="1" applyFont="1" applyFill="1" applyBorder="1" applyAlignment="1">
      <alignment horizontal="center"/>
    </xf>
    <xf numFmtId="43" fontId="60" fillId="5" borderId="21" xfId="1" applyNumberFormat="1" applyFont="1" applyFill="1" applyBorder="1" applyAlignment="1">
      <alignment horizontal="center"/>
    </xf>
    <xf numFmtId="1" fontId="37" fillId="0" borderId="14" xfId="14" applyNumberFormat="1" applyFont="1" applyFill="1" applyBorder="1" applyAlignment="1" applyProtection="1">
      <alignment horizontal="center" vertical="center" wrapText="1" shrinkToFit="1"/>
    </xf>
    <xf numFmtId="1" fontId="37" fillId="0" borderId="21" xfId="14" applyNumberFormat="1" applyFont="1" applyFill="1" applyBorder="1" applyAlignment="1" applyProtection="1">
      <alignment horizontal="center" vertical="center" wrapText="1" shrinkToFit="1"/>
    </xf>
    <xf numFmtId="1" fontId="37" fillId="0" borderId="1" xfId="14" applyNumberFormat="1" applyFont="1" applyFill="1" applyBorder="1" applyAlignment="1" applyProtection="1">
      <alignment horizontal="center" vertical="center" wrapText="1" shrinkToFit="1"/>
    </xf>
    <xf numFmtId="0" fontId="37" fillId="0" borderId="22" xfId="14" applyNumberFormat="1" applyFont="1" applyFill="1" applyBorder="1" applyAlignment="1" applyProtection="1">
      <alignment horizontal="center" vertical="center" wrapText="1" shrinkToFit="1"/>
    </xf>
    <xf numFmtId="0" fontId="37" fillId="0" borderId="23" xfId="14" applyNumberFormat="1" applyFont="1" applyFill="1" applyBorder="1" applyAlignment="1" applyProtection="1">
      <alignment horizontal="center" vertical="center" wrapText="1" shrinkToFit="1"/>
    </xf>
    <xf numFmtId="0" fontId="37" fillId="0" borderId="1" xfId="14" applyNumberFormat="1" applyFont="1" applyFill="1" applyBorder="1" applyAlignment="1" applyProtection="1">
      <alignment horizontal="center" vertical="center" wrapText="1" shrinkToFit="1"/>
    </xf>
    <xf numFmtId="49" fontId="18" fillId="2" borderId="0" xfId="8" applyNumberFormat="1" applyFont="1" applyFill="1" applyAlignment="1" applyProtection="1">
      <alignment horizontal="center" vertical="center" wrapText="1"/>
      <protection locked="0"/>
    </xf>
    <xf numFmtId="0" fontId="18" fillId="0" borderId="0" xfId="8" applyFont="1" applyFill="1" applyAlignment="1" applyProtection="1">
      <alignment horizontal="center" vertical="center" wrapText="1"/>
      <protection locked="0"/>
    </xf>
    <xf numFmtId="0" fontId="16" fillId="0" borderId="0" xfId="8" applyFont="1" applyFill="1" applyBorder="1" applyAlignment="1" applyProtection="1">
      <alignment horizontal="center" vertical="top" wrapText="1"/>
    </xf>
    <xf numFmtId="0" fontId="16" fillId="0" borderId="0" xfId="8" applyFont="1" applyFill="1" applyBorder="1" applyAlignment="1" applyProtection="1">
      <alignment horizontal="center" vertical="top"/>
    </xf>
    <xf numFmtId="0" fontId="30" fillId="0" borderId="16" xfId="8" applyFont="1" applyFill="1" applyBorder="1" applyAlignment="1" applyProtection="1">
      <alignment horizontal="center" vertical="top" wrapText="1"/>
    </xf>
    <xf numFmtId="0" fontId="30" fillId="0" borderId="0" xfId="8" applyFont="1" applyFill="1" applyBorder="1" applyAlignment="1" applyProtection="1">
      <alignment horizontal="center" vertical="top" wrapText="1"/>
    </xf>
    <xf numFmtId="0" fontId="29" fillId="2" borderId="0" xfId="8" applyFont="1" applyFill="1" applyBorder="1" applyAlignment="1" applyProtection="1">
      <alignment horizontal="center"/>
    </xf>
    <xf numFmtId="0" fontId="49" fillId="0" borderId="0" xfId="0" applyFont="1" applyAlignment="1">
      <alignment horizontal="center"/>
    </xf>
    <xf numFmtId="49" fontId="31" fillId="2" borderId="0" xfId="8" applyNumberFormat="1" applyFont="1" applyFill="1" applyAlignment="1" applyProtection="1">
      <alignment horizontal="center" vertical="center" wrapText="1"/>
      <protection locked="0"/>
    </xf>
    <xf numFmtId="0" fontId="31" fillId="0" borderId="0" xfId="8" applyFont="1" applyFill="1" applyAlignment="1" applyProtection="1">
      <alignment horizontal="center" vertical="center" wrapText="1"/>
      <protection locked="0"/>
    </xf>
    <xf numFmtId="0" fontId="18" fillId="0" borderId="16" xfId="8" applyFont="1" applyFill="1" applyBorder="1" applyAlignment="1" applyProtection="1">
      <alignment horizontal="center" vertical="top" wrapText="1"/>
    </xf>
    <xf numFmtId="0" fontId="18" fillId="0" borderId="16" xfId="8" applyFont="1" applyFill="1" applyBorder="1" applyAlignment="1" applyProtection="1">
      <alignment horizontal="center" vertical="top"/>
    </xf>
    <xf numFmtId="0" fontId="32" fillId="9" borderId="0" xfId="8" applyFont="1" applyFill="1" applyAlignment="1" applyProtection="1">
      <alignment horizontal="center"/>
    </xf>
    <xf numFmtId="0" fontId="29" fillId="9" borderId="16" xfId="9" applyFont="1" applyFill="1" applyBorder="1" applyAlignment="1" applyProtection="1">
      <alignment horizontal="center" vertical="top" wrapText="1"/>
    </xf>
    <xf numFmtId="0" fontId="18" fillId="9" borderId="0" xfId="8" applyFont="1" applyFill="1" applyBorder="1" applyAlignment="1" applyProtection="1">
      <alignment horizontal="center" vertical="top" wrapText="1"/>
    </xf>
    <xf numFmtId="0" fontId="46" fillId="2" borderId="7" xfId="8" applyFont="1" applyFill="1" applyBorder="1" applyAlignment="1" applyProtection="1">
      <alignment horizontal="center"/>
    </xf>
    <xf numFmtId="0" fontId="46" fillId="2" borderId="8" xfId="8" applyFont="1" applyFill="1" applyBorder="1" applyAlignment="1" applyProtection="1">
      <alignment horizontal="center"/>
    </xf>
    <xf numFmtId="0" fontId="46" fillId="2" borderId="9" xfId="8" applyFont="1" applyFill="1" applyBorder="1" applyAlignment="1" applyProtection="1">
      <alignment horizontal="center"/>
    </xf>
    <xf numFmtId="0" fontId="48" fillId="7" borderId="7" xfId="8" applyFont="1" applyFill="1" applyBorder="1" applyAlignment="1" applyProtection="1">
      <alignment horizontal="center"/>
    </xf>
    <xf numFmtId="0" fontId="48" fillId="7" borderId="9" xfId="8" applyFont="1" applyFill="1" applyBorder="1" applyAlignment="1" applyProtection="1">
      <alignment horizontal="center"/>
    </xf>
    <xf numFmtId="0" fontId="48" fillId="2" borderId="7" xfId="8" applyFont="1" applyFill="1" applyBorder="1" applyAlignment="1" applyProtection="1">
      <alignment horizontal="center"/>
    </xf>
    <xf numFmtId="0" fontId="48" fillId="2" borderId="8" xfId="8" applyFont="1" applyFill="1" applyBorder="1" applyAlignment="1" applyProtection="1">
      <alignment horizontal="center"/>
    </xf>
    <xf numFmtId="0" fontId="48" fillId="2" borderId="9" xfId="8" applyFont="1" applyFill="1" applyBorder="1" applyAlignment="1" applyProtection="1">
      <alignment horizontal="center"/>
    </xf>
    <xf numFmtId="0" fontId="46" fillId="7" borderId="7" xfId="8" applyFont="1" applyFill="1" applyBorder="1" applyAlignment="1" applyProtection="1">
      <alignment horizontal="center"/>
    </xf>
    <xf numFmtId="0" fontId="46" fillId="7" borderId="9" xfId="8" applyFont="1" applyFill="1" applyBorder="1" applyAlignment="1" applyProtection="1">
      <alignment horizontal="center"/>
    </xf>
    <xf numFmtId="0" fontId="18" fillId="9" borderId="16" xfId="8" applyFont="1" applyFill="1" applyBorder="1" applyAlignment="1" applyProtection="1">
      <alignment horizontal="center" vertical="top" wrapText="1"/>
    </xf>
    <xf numFmtId="0" fontId="18" fillId="9" borderId="16" xfId="8" applyFont="1" applyFill="1" applyBorder="1" applyAlignment="1" applyProtection="1">
      <alignment horizontal="center" vertical="top"/>
    </xf>
    <xf numFmtId="0" fontId="30" fillId="9" borderId="16" xfId="8" applyFont="1" applyFill="1" applyBorder="1" applyAlignment="1" applyProtection="1">
      <alignment horizontal="center" vertical="top" wrapText="1"/>
    </xf>
    <xf numFmtId="0" fontId="30" fillId="9" borderId="0" xfId="8" applyFont="1" applyFill="1" applyBorder="1" applyAlignment="1" applyProtection="1">
      <alignment horizontal="center" vertical="top" wrapText="1"/>
    </xf>
    <xf numFmtId="0" fontId="29" fillId="9" borderId="0" xfId="8" applyFont="1" applyFill="1" applyBorder="1" applyAlignment="1" applyProtection="1">
      <alignment horizontal="center"/>
    </xf>
    <xf numFmtId="0" fontId="49" fillId="9" borderId="0" xfId="0" applyFont="1" applyFill="1" applyAlignment="1">
      <alignment horizontal="center"/>
    </xf>
  </cellXfs>
  <cellStyles count="25">
    <cellStyle name="Moeda" xfId="1" builtinId="4"/>
    <cellStyle name="Moeda 2" xfId="2"/>
    <cellStyle name="Moeda 2 2" xfId="3"/>
    <cellStyle name="Moeda 3" xfId="4"/>
    <cellStyle name="Moeda 3 2" xfId="5"/>
    <cellStyle name="Moeda 4" xfId="6"/>
    <cellStyle name="Moeda 4 2" xfId="7"/>
    <cellStyle name="Normal" xfId="0" builtinId="0"/>
    <cellStyle name="Normal 2" xfId="8"/>
    <cellStyle name="Normal 2 2" xfId="9"/>
    <cellStyle name="Normal 3" xfId="10"/>
    <cellStyle name="Normal 3 2" xfId="11"/>
    <cellStyle name="Normal 3 3" xfId="12"/>
    <cellStyle name="Normal 4" xfId="13"/>
    <cellStyle name="Normal 5" xfId="14"/>
    <cellStyle name="Normal 5 2" xfId="15"/>
    <cellStyle name="Normal 5 3" xfId="16"/>
    <cellStyle name="Normal 5 3 2" xfId="17"/>
    <cellStyle name="Normal 5 4" xfId="18"/>
    <cellStyle name="Normal 5 4 2" xfId="19"/>
    <cellStyle name="Porcentagem" xfId="20" builtinId="5"/>
    <cellStyle name="Porcentagem 2" xfId="21"/>
    <cellStyle name="Porcentagem 2 2" xfId="22"/>
    <cellStyle name="Separador de milhares 2" xfId="23"/>
    <cellStyle name="Separador de milhares 2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H7"/>
  <sheetViews>
    <sheetView topLeftCell="A6" workbookViewId="0">
      <selection activeCell="G17" sqref="G17"/>
    </sheetView>
  </sheetViews>
  <sheetFormatPr defaultRowHeight="15"/>
  <cols>
    <col min="1" max="1" width="27" bestFit="1" customWidth="1"/>
  </cols>
  <sheetData>
    <row r="5" spans="1:8" ht="324.75" customHeight="1">
      <c r="A5" s="10" t="s">
        <v>39</v>
      </c>
      <c r="B5" s="261" t="s">
        <v>40</v>
      </c>
      <c r="C5" s="261"/>
      <c r="D5" s="261"/>
      <c r="E5" s="261"/>
      <c r="F5" s="261"/>
      <c r="G5" s="261"/>
      <c r="H5" s="261"/>
    </row>
    <row r="6" spans="1:8" ht="119.25" customHeight="1">
      <c r="A6" s="10" t="s">
        <v>38</v>
      </c>
      <c r="B6" s="261" t="s">
        <v>41</v>
      </c>
      <c r="C6" s="261"/>
      <c r="D6" s="261"/>
      <c r="E6" s="261"/>
      <c r="F6" s="261"/>
      <c r="G6" s="261"/>
      <c r="H6" s="261"/>
    </row>
    <row r="7" spans="1:8" ht="56.25" customHeight="1">
      <c r="A7" t="s">
        <v>70</v>
      </c>
      <c r="B7" s="261" t="s">
        <v>69</v>
      </c>
      <c r="C7" s="261"/>
      <c r="D7" s="261"/>
      <c r="E7" s="261"/>
      <c r="F7" s="261"/>
      <c r="G7" s="261"/>
      <c r="H7" s="261"/>
    </row>
  </sheetData>
  <sheetProtection password="9A77" sheet="1" objects="1" selectLockedCells="1" selectUnlockedCells="1"/>
  <mergeCells count="3">
    <mergeCell ref="B6:H6"/>
    <mergeCell ref="B5:H5"/>
    <mergeCell ref="B7:H7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390"/>
  <sheetViews>
    <sheetView showGridLines="0" topLeftCell="C106" zoomScale="85" zoomScaleNormal="85" workbookViewId="0">
      <selection activeCell="AA146" sqref="AA146"/>
    </sheetView>
  </sheetViews>
  <sheetFormatPr defaultRowHeight="15"/>
  <cols>
    <col min="1" max="1" width="28.42578125" style="25" bestFit="1" customWidth="1"/>
    <col min="2" max="2" width="17" style="25" bestFit="1" customWidth="1"/>
    <col min="3" max="3" width="15.28515625" style="25" bestFit="1" customWidth="1"/>
    <col min="4" max="4" width="6" style="25" bestFit="1" customWidth="1"/>
    <col min="5" max="5" width="11.7109375" style="25" bestFit="1" customWidth="1"/>
    <col min="6" max="6" width="6" style="25" bestFit="1" customWidth="1"/>
    <col min="7" max="7" width="11.7109375" style="25" bestFit="1" customWidth="1"/>
    <col min="8" max="8" width="6" style="25" bestFit="1" customWidth="1"/>
    <col min="9" max="9" width="11.7109375" style="25" bestFit="1" customWidth="1"/>
    <col min="10" max="10" width="6" style="25" bestFit="1" customWidth="1"/>
    <col min="11" max="11" width="10.85546875" style="25" bestFit="1" customWidth="1"/>
    <col min="12" max="12" width="6" style="25" bestFit="1" customWidth="1"/>
    <col min="13" max="13" width="10.85546875" style="25" bestFit="1" customWidth="1"/>
    <col min="14" max="14" width="6.85546875" style="25" bestFit="1" customWidth="1"/>
    <col min="15" max="15" width="10.85546875" style="25" bestFit="1" customWidth="1"/>
    <col min="16" max="16" width="6" style="25" bestFit="1" customWidth="1"/>
    <col min="17" max="17" width="10.85546875" style="25" bestFit="1" customWidth="1"/>
    <col min="18" max="18" width="6" style="25" bestFit="1" customWidth="1"/>
    <col min="19" max="19" width="10.85546875" style="25" bestFit="1" customWidth="1"/>
    <col min="20" max="20" width="6" style="25" bestFit="1" customWidth="1"/>
    <col min="21" max="21" width="11.7109375" style="25" bestFit="1" customWidth="1"/>
    <col min="22" max="22" width="6" style="25" bestFit="1" customWidth="1"/>
    <col min="23" max="23" width="11.7109375" style="25" bestFit="1" customWidth="1"/>
    <col min="24" max="24" width="6" style="25" bestFit="1" customWidth="1"/>
    <col min="25" max="25" width="11.7109375" style="25" bestFit="1" customWidth="1"/>
    <col min="26" max="26" width="6" style="25" bestFit="1" customWidth="1"/>
    <col min="27" max="27" width="15.28515625" style="25" bestFit="1" customWidth="1"/>
    <col min="28" max="28" width="6.85546875" style="25" bestFit="1" customWidth="1"/>
    <col min="29" max="29" width="11.7109375" style="25" bestFit="1" customWidth="1"/>
    <col min="30" max="30" width="33.5703125" style="25" bestFit="1" customWidth="1"/>
    <col min="31" max="16384" width="9.140625" style="25"/>
  </cols>
  <sheetData>
    <row r="1" spans="1:28" ht="18" hidden="1">
      <c r="A1" s="262" t="s">
        <v>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</row>
    <row r="2" spans="1:28" ht="18" hidden="1" customHeight="1">
      <c r="A2" s="262" t="s">
        <v>59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</row>
    <row r="3" spans="1:28" hidden="1">
      <c r="A3" s="35"/>
      <c r="B3" s="35"/>
      <c r="C3" s="31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28" ht="20.25" hidden="1" customHeight="1">
      <c r="A4" s="264" t="s">
        <v>26</v>
      </c>
      <c r="B4" s="264" t="s">
        <v>57</v>
      </c>
      <c r="C4" s="268" t="s">
        <v>2</v>
      </c>
      <c r="D4" s="269"/>
      <c r="E4" s="268" t="s">
        <v>3</v>
      </c>
      <c r="F4" s="269"/>
      <c r="G4" s="268" t="s">
        <v>4</v>
      </c>
      <c r="H4" s="269"/>
      <c r="I4" s="268" t="s">
        <v>5</v>
      </c>
      <c r="J4" s="269"/>
      <c r="K4" s="268" t="s">
        <v>6</v>
      </c>
      <c r="L4" s="269"/>
      <c r="M4" s="268" t="s">
        <v>7</v>
      </c>
      <c r="N4" s="269"/>
      <c r="O4" s="268" t="s">
        <v>8</v>
      </c>
      <c r="P4" s="269"/>
      <c r="Q4" s="268" t="s">
        <v>9</v>
      </c>
      <c r="R4" s="269"/>
      <c r="S4" s="268" t="s">
        <v>10</v>
      </c>
      <c r="T4" s="269"/>
      <c r="U4" s="268" t="s">
        <v>11</v>
      </c>
      <c r="V4" s="269"/>
      <c r="W4" s="268" t="s">
        <v>12</v>
      </c>
      <c r="X4" s="269"/>
      <c r="Y4" s="268" t="s">
        <v>13</v>
      </c>
      <c r="Z4" s="269"/>
      <c r="AA4" s="268" t="s">
        <v>14</v>
      </c>
      <c r="AB4" s="269"/>
    </row>
    <row r="5" spans="1:28" hidden="1">
      <c r="A5" s="265"/>
      <c r="B5" s="265"/>
      <c r="C5" s="3" t="s">
        <v>1</v>
      </c>
      <c r="D5" s="3" t="s">
        <v>15</v>
      </c>
      <c r="E5" s="3" t="s">
        <v>1</v>
      </c>
      <c r="F5" s="3"/>
      <c r="G5" s="3" t="s">
        <v>1</v>
      </c>
      <c r="H5" s="3"/>
      <c r="I5" s="3" t="s">
        <v>1</v>
      </c>
      <c r="J5" s="3" t="s">
        <v>15</v>
      </c>
      <c r="K5" s="3" t="s">
        <v>1</v>
      </c>
      <c r="L5" s="3" t="s">
        <v>15</v>
      </c>
      <c r="M5" s="3" t="s">
        <v>1</v>
      </c>
      <c r="N5" s="3" t="s">
        <v>15</v>
      </c>
      <c r="O5" s="3" t="s">
        <v>1</v>
      </c>
      <c r="P5" s="3" t="s">
        <v>15</v>
      </c>
      <c r="Q5" s="3" t="s">
        <v>1</v>
      </c>
      <c r="R5" s="3" t="s">
        <v>15</v>
      </c>
      <c r="S5" s="3" t="s">
        <v>1</v>
      </c>
      <c r="T5" s="3" t="s">
        <v>15</v>
      </c>
      <c r="U5" s="3" t="s">
        <v>1</v>
      </c>
      <c r="V5" s="3" t="s">
        <v>15</v>
      </c>
      <c r="W5" s="3" t="s">
        <v>1</v>
      </c>
      <c r="X5" s="3" t="s">
        <v>15</v>
      </c>
      <c r="Y5" s="3" t="s">
        <v>1</v>
      </c>
      <c r="Z5" s="3" t="s">
        <v>15</v>
      </c>
      <c r="AA5" s="3" t="s">
        <v>1</v>
      </c>
      <c r="AB5" s="3" t="s">
        <v>15</v>
      </c>
    </row>
    <row r="6" spans="1:28" ht="15" hidden="1" customHeight="1">
      <c r="A6" s="41" t="s">
        <v>28</v>
      </c>
      <c r="B6" s="44">
        <f>SUM(B7:B14)</f>
        <v>100415123.75</v>
      </c>
      <c r="C6" s="44">
        <f>SUM(C7:C14)</f>
        <v>21516910.539999999</v>
      </c>
      <c r="D6" s="42">
        <f>+C6/$B6</f>
        <v>0.21427957997213543</v>
      </c>
      <c r="E6" s="44">
        <f>SUM(E7:E14)</f>
        <v>15594870.16</v>
      </c>
      <c r="F6" s="42">
        <f>+E6/$B6</f>
        <v>0.15530399782034826</v>
      </c>
      <c r="G6" s="44">
        <f>SUM(G7:G14)</f>
        <v>12687084.790000001</v>
      </c>
      <c r="H6" s="42">
        <f>+G6/$B6</f>
        <v>0.12634635417655402</v>
      </c>
      <c r="I6" s="44">
        <f>SUM(I7:I14)</f>
        <v>10701048.199999999</v>
      </c>
      <c r="J6" s="42">
        <f t="shared" ref="J6:J15" si="0">+I6/$B6</f>
        <v>0.10656809253795298</v>
      </c>
      <c r="K6" s="44">
        <f>SUM(K7:K14)</f>
        <v>6618226.919999999</v>
      </c>
      <c r="L6" s="42">
        <f>+K6/$B6</f>
        <v>6.5908666671338934E-2</v>
      </c>
      <c r="M6" s="44">
        <f>SUM(M7:M14)</f>
        <v>4921622.8499999996</v>
      </c>
      <c r="N6" s="42">
        <f>+M6/$B6</f>
        <v>4.9012764872482663E-2</v>
      </c>
      <c r="O6" s="44">
        <f>SUM(O7:O14)</f>
        <v>5345331.7899999991</v>
      </c>
      <c r="P6" s="42">
        <f>+O6/$B6</f>
        <v>5.3232337823016417E-2</v>
      </c>
      <c r="Q6" s="44">
        <f>SUM(Q7:Q14)</f>
        <v>4430532.88</v>
      </c>
      <c r="R6" s="42">
        <f t="shared" ref="R6:X6" si="1">+Q6/$B6</f>
        <v>4.4122167204917677E-2</v>
      </c>
      <c r="S6" s="44">
        <f>SUM(S7:S14)</f>
        <v>4901736</v>
      </c>
      <c r="T6" s="42">
        <f t="shared" si="1"/>
        <v>4.8814718509969469E-2</v>
      </c>
      <c r="U6" s="44">
        <f>SUM(U7:U14)</f>
        <v>5482858.2800000003</v>
      </c>
      <c r="V6" s="42">
        <f t="shared" si="1"/>
        <v>5.4601917273442588E-2</v>
      </c>
      <c r="W6" s="44">
        <f>SUM(W7:W14)</f>
        <v>3730519.33</v>
      </c>
      <c r="X6" s="42">
        <f t="shared" si="1"/>
        <v>3.7150970796866641E-2</v>
      </c>
      <c r="Y6" s="44">
        <f>SUM(Y7:Y14)</f>
        <v>4484382.01</v>
      </c>
      <c r="Z6" s="42">
        <f>+Y6/$B6</f>
        <v>4.4658432340974927E-2</v>
      </c>
      <c r="AA6" s="44">
        <f>SUM(AA7:AA14)</f>
        <v>100415123.75</v>
      </c>
      <c r="AB6" s="42">
        <f t="shared" ref="AB6:AB15" si="2">+AA6/$B6</f>
        <v>1</v>
      </c>
    </row>
    <row r="7" spans="1:28" hidden="1">
      <c r="A7" s="11" t="s">
        <v>42</v>
      </c>
      <c r="B7" s="28">
        <v>0</v>
      </c>
      <c r="C7" s="28"/>
      <c r="D7" s="29"/>
      <c r="E7" s="28"/>
      <c r="F7" s="29"/>
      <c r="G7" s="28"/>
      <c r="H7" s="29"/>
      <c r="I7" s="28"/>
      <c r="J7" s="29"/>
      <c r="K7" s="28"/>
      <c r="L7" s="29"/>
      <c r="M7" s="28"/>
      <c r="N7" s="29"/>
      <c r="O7" s="28"/>
      <c r="P7" s="29"/>
      <c r="Q7" s="28"/>
      <c r="R7" s="29"/>
      <c r="S7" s="28"/>
      <c r="T7" s="29"/>
      <c r="U7" s="28"/>
      <c r="V7" s="29"/>
      <c r="W7" s="28"/>
      <c r="X7" s="29"/>
      <c r="Y7" s="28"/>
      <c r="Z7" s="29"/>
      <c r="AA7" s="30"/>
      <c r="AB7" s="29"/>
    </row>
    <row r="8" spans="1:28" hidden="1">
      <c r="A8" s="11" t="s">
        <v>31</v>
      </c>
      <c r="B8" s="28">
        <v>71843304.019999996</v>
      </c>
      <c r="C8" s="28">
        <v>18776909.98</v>
      </c>
      <c r="D8" s="29">
        <f t="shared" ref="D8:D14" si="3">+C8/$B8</f>
        <v>0.26135922110114557</v>
      </c>
      <c r="E8" s="28">
        <v>12959728.49</v>
      </c>
      <c r="F8" s="29">
        <f>+E8/$B8</f>
        <v>0.18038881516908276</v>
      </c>
      <c r="G8" s="28">
        <v>10204451.75</v>
      </c>
      <c r="H8" s="29">
        <f>+G8/$B8</f>
        <v>0.14203761769028952</v>
      </c>
      <c r="I8" s="28">
        <v>8477816.6799999997</v>
      </c>
      <c r="J8" s="29">
        <f t="shared" si="0"/>
        <v>0.11800427048343871</v>
      </c>
      <c r="K8" s="28">
        <v>4393528.6399999997</v>
      </c>
      <c r="L8" s="29">
        <f t="shared" ref="L8:L15" si="4">+K8/$B8</f>
        <v>6.1154323286369369E-2</v>
      </c>
      <c r="M8" s="28">
        <v>2729269.88</v>
      </c>
      <c r="N8" s="29">
        <f>+M8/$B8</f>
        <v>3.7989203269941707E-2</v>
      </c>
      <c r="O8" s="28">
        <v>2695325.26</v>
      </c>
      <c r="P8" s="29">
        <f t="shared" ref="P8:P14" si="5">+O8/$B8</f>
        <v>3.7516721937644534E-2</v>
      </c>
      <c r="Q8" s="28">
        <v>2138832.94</v>
      </c>
      <c r="R8" s="29">
        <f t="shared" ref="R8:R15" si="6">+Q8/$B8</f>
        <v>2.9770804240915535E-2</v>
      </c>
      <c r="S8" s="28">
        <v>2357573.0699999998</v>
      </c>
      <c r="T8" s="29">
        <f t="shared" ref="T8:T15" si="7">+S8/$B8</f>
        <v>3.2815487847603589E-2</v>
      </c>
      <c r="U8" s="28">
        <v>3081329.85</v>
      </c>
      <c r="V8" s="29">
        <f t="shared" ref="V8:V15" si="8">+U8/$B8</f>
        <v>4.288958994901193E-2</v>
      </c>
      <c r="W8" s="28">
        <v>1896685.55</v>
      </c>
      <c r="X8" s="29">
        <f>+W8/$B8</f>
        <v>2.6400310730029814E-2</v>
      </c>
      <c r="Y8" s="28">
        <v>2131851.9300000002</v>
      </c>
      <c r="Z8" s="29">
        <f>+Y8/$B8</f>
        <v>2.9673634294526983E-2</v>
      </c>
      <c r="AA8" s="30">
        <f>+C8+E8+G8+I8+K8+M8+O8+Q8+S8+U8+W8+Y8</f>
        <v>71843304.019999996</v>
      </c>
      <c r="AB8" s="29">
        <f t="shared" si="2"/>
        <v>1</v>
      </c>
    </row>
    <row r="9" spans="1:28" hidden="1">
      <c r="A9" s="11" t="s">
        <v>32</v>
      </c>
      <c r="B9" s="28">
        <v>1724726.39</v>
      </c>
      <c r="C9" s="28">
        <v>57933.97</v>
      </c>
      <c r="D9" s="29">
        <f t="shared" si="3"/>
        <v>3.3590238043496284E-2</v>
      </c>
      <c r="E9" s="28">
        <v>82850.03</v>
      </c>
      <c r="F9" s="29">
        <f>+E9/$B9</f>
        <v>4.8036622203015057E-2</v>
      </c>
      <c r="G9" s="28">
        <v>137654.75</v>
      </c>
      <c r="H9" s="29">
        <f>+G9/$B9</f>
        <v>7.9812514493965619E-2</v>
      </c>
      <c r="I9" s="28">
        <v>47785.99</v>
      </c>
      <c r="J9" s="29">
        <f t="shared" si="0"/>
        <v>2.7706417827815577E-2</v>
      </c>
      <c r="K9" s="28">
        <v>181823.64</v>
      </c>
      <c r="L9" s="29">
        <f t="shared" si="4"/>
        <v>0.10542173010989878</v>
      </c>
      <c r="M9" s="28">
        <v>330668.93</v>
      </c>
      <c r="N9" s="29">
        <f>+M9/$B9</f>
        <v>0.19172254330728947</v>
      </c>
      <c r="O9" s="28">
        <v>169091</v>
      </c>
      <c r="P9" s="29">
        <f t="shared" si="5"/>
        <v>9.8039318572727352E-2</v>
      </c>
      <c r="Q9" s="28">
        <v>170276.82</v>
      </c>
      <c r="R9" s="29">
        <f t="shared" si="6"/>
        <v>9.8726859510742462E-2</v>
      </c>
      <c r="S9" s="28">
        <v>161937.72</v>
      </c>
      <c r="T9" s="29">
        <f t="shared" si="7"/>
        <v>9.389183173569926E-2</v>
      </c>
      <c r="U9" s="28">
        <v>137460.51999999999</v>
      </c>
      <c r="V9" s="29">
        <f t="shared" si="8"/>
        <v>7.9699899530150983E-2</v>
      </c>
      <c r="W9" s="28">
        <v>133344.29</v>
      </c>
      <c r="X9" s="29">
        <f>+W9/$B9</f>
        <v>7.7313300691131667E-2</v>
      </c>
      <c r="Y9" s="28">
        <v>113898.73</v>
      </c>
      <c r="Z9" s="29">
        <f>+Y9/$B9</f>
        <v>6.603872397406757E-2</v>
      </c>
      <c r="AA9" s="30">
        <f>+C9+E9+G9+I9+K9+M9+O9+Q9+S9+U9+W9+Y9</f>
        <v>1724726.3900000001</v>
      </c>
      <c r="AB9" s="29">
        <f t="shared" si="2"/>
        <v>1.0000000000000002</v>
      </c>
    </row>
    <row r="10" spans="1:28" hidden="1">
      <c r="A10" s="11" t="s">
        <v>43</v>
      </c>
      <c r="B10" s="28">
        <v>0</v>
      </c>
      <c r="C10" s="28"/>
      <c r="D10" s="29"/>
      <c r="E10" s="28"/>
      <c r="F10" s="29"/>
      <c r="G10" s="28"/>
      <c r="H10" s="29"/>
      <c r="I10" s="28"/>
      <c r="J10" s="29"/>
      <c r="K10" s="28"/>
      <c r="L10" s="29"/>
      <c r="M10" s="28"/>
      <c r="N10" s="29"/>
      <c r="O10" s="28"/>
      <c r="P10" s="29"/>
      <c r="Q10" s="28"/>
      <c r="R10" s="29"/>
      <c r="S10" s="28"/>
      <c r="T10" s="29"/>
      <c r="U10" s="28"/>
      <c r="V10" s="29"/>
      <c r="W10" s="28"/>
      <c r="X10" s="29"/>
      <c r="Y10" s="28"/>
      <c r="Z10" s="29"/>
      <c r="AA10" s="30">
        <f>+C10+E10+G10+I10+K10+M10+O10+Q10+S10+U10+W10+Y10</f>
        <v>0</v>
      </c>
      <c r="AB10" s="29"/>
    </row>
    <row r="11" spans="1:28" hidden="1">
      <c r="A11" s="11" t="s">
        <v>44</v>
      </c>
      <c r="B11" s="28">
        <v>0</v>
      </c>
      <c r="C11" s="28"/>
      <c r="D11" s="29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8"/>
      <c r="R11" s="29"/>
      <c r="S11" s="28"/>
      <c r="T11" s="29"/>
      <c r="U11" s="28"/>
      <c r="V11" s="29"/>
      <c r="W11" s="28"/>
      <c r="X11" s="29"/>
      <c r="Y11" s="28"/>
      <c r="Z11" s="29"/>
      <c r="AA11" s="30">
        <f>+C11+E11+G11+I11+K11+M11+O11+Q11+S11+U11+W11+Y11</f>
        <v>0</v>
      </c>
      <c r="AB11" s="29"/>
    </row>
    <row r="12" spans="1:28" hidden="1">
      <c r="A12" s="11" t="s">
        <v>45</v>
      </c>
      <c r="B12" s="28">
        <v>13212495.23</v>
      </c>
      <c r="C12" s="28">
        <v>1707925.44</v>
      </c>
      <c r="D12" s="29">
        <f t="shared" si="3"/>
        <v>0.12926592670565526</v>
      </c>
      <c r="E12" s="28">
        <v>1556713.76</v>
      </c>
      <c r="F12" s="29"/>
      <c r="G12" s="28">
        <v>1393891.72</v>
      </c>
      <c r="H12" s="29"/>
      <c r="I12" s="28">
        <v>1133176.49</v>
      </c>
      <c r="J12" s="29">
        <f t="shared" si="0"/>
        <v>8.5765517434362767E-2</v>
      </c>
      <c r="K12" s="28">
        <v>1042338.71</v>
      </c>
      <c r="L12" s="29">
        <f t="shared" si="4"/>
        <v>7.8890375501009732E-2</v>
      </c>
      <c r="M12" s="28">
        <v>824402.13</v>
      </c>
      <c r="N12" s="29">
        <f>+M12/$B12</f>
        <v>6.2395642582949107E-2</v>
      </c>
      <c r="O12" s="28">
        <v>1124341.8</v>
      </c>
      <c r="P12" s="29">
        <f t="shared" si="5"/>
        <v>8.5096855698164747E-2</v>
      </c>
      <c r="Q12" s="28">
        <v>984425.82</v>
      </c>
      <c r="R12" s="29">
        <f t="shared" si="6"/>
        <v>7.4507184514608901E-2</v>
      </c>
      <c r="S12" s="28">
        <v>1048554.74</v>
      </c>
      <c r="T12" s="29">
        <f t="shared" si="7"/>
        <v>7.9360841517594247E-2</v>
      </c>
      <c r="U12" s="28">
        <v>913982.53</v>
      </c>
      <c r="V12" s="29">
        <f t="shared" si="8"/>
        <v>6.9175618540601738E-2</v>
      </c>
      <c r="W12" s="28">
        <v>712940.89</v>
      </c>
      <c r="X12" s="29">
        <f>+W12/$B12</f>
        <v>5.3959594882669257E-2</v>
      </c>
      <c r="Y12" s="28">
        <v>769801.2</v>
      </c>
      <c r="Z12" s="29">
        <f>+Y12/$B12</f>
        <v>5.8263120372002583E-2</v>
      </c>
      <c r="AA12" s="30">
        <f>+C12+E12+G12+I12+K12+M12+O12+Q12+S12+U12+W12+Y12</f>
        <v>13212495.23</v>
      </c>
      <c r="AB12" s="29">
        <f t="shared" si="2"/>
        <v>1</v>
      </c>
    </row>
    <row r="13" spans="1:28" hidden="1">
      <c r="A13" s="11" t="s">
        <v>46</v>
      </c>
      <c r="B13" s="28">
        <v>0</v>
      </c>
      <c r="C13" s="28"/>
      <c r="D13" s="29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8"/>
      <c r="R13" s="29"/>
      <c r="S13" s="28"/>
      <c r="T13" s="29"/>
      <c r="U13" s="28"/>
      <c r="V13" s="29"/>
      <c r="W13" s="28"/>
      <c r="X13" s="29"/>
      <c r="Y13" s="28"/>
      <c r="Z13" s="29"/>
      <c r="AA13" s="30"/>
      <c r="AB13" s="29"/>
    </row>
    <row r="14" spans="1:28" hidden="1">
      <c r="A14" s="11" t="s">
        <v>35</v>
      </c>
      <c r="B14" s="28">
        <v>13634598.109999999</v>
      </c>
      <c r="C14" s="28">
        <v>974141.15</v>
      </c>
      <c r="D14" s="29">
        <f t="shared" si="3"/>
        <v>7.1446267953108017E-2</v>
      </c>
      <c r="E14" s="28">
        <v>995577.88</v>
      </c>
      <c r="F14" s="29"/>
      <c r="G14" s="28">
        <v>951086.57</v>
      </c>
      <c r="H14" s="29"/>
      <c r="I14" s="28">
        <v>1042269.04</v>
      </c>
      <c r="J14" s="29">
        <f t="shared" si="0"/>
        <v>7.6442960151173842E-2</v>
      </c>
      <c r="K14" s="28">
        <v>1000535.93</v>
      </c>
      <c r="L14" s="29">
        <f t="shared" si="4"/>
        <v>7.3382135793660014E-2</v>
      </c>
      <c r="M14" s="28">
        <v>1037281.91</v>
      </c>
      <c r="N14" s="29">
        <f>+M14/$B14</f>
        <v>7.6077189927529154E-2</v>
      </c>
      <c r="O14" s="28">
        <v>1356573.73</v>
      </c>
      <c r="P14" s="29">
        <f t="shared" si="5"/>
        <v>9.9494955337557797E-2</v>
      </c>
      <c r="Q14" s="28">
        <v>1136997.3</v>
      </c>
      <c r="R14" s="29">
        <f t="shared" si="6"/>
        <v>8.3390598742040967E-2</v>
      </c>
      <c r="S14" s="28">
        <v>1333670.47</v>
      </c>
      <c r="T14" s="29">
        <f t="shared" si="7"/>
        <v>9.781516545191371E-2</v>
      </c>
      <c r="U14" s="28">
        <v>1350085.38</v>
      </c>
      <c r="V14" s="29">
        <f t="shared" si="8"/>
        <v>9.9019081391904698E-2</v>
      </c>
      <c r="W14" s="28">
        <v>987548.6</v>
      </c>
      <c r="X14" s="29">
        <f>+W14/$B14</f>
        <v>7.2429608268079718E-2</v>
      </c>
      <c r="Y14" s="28">
        <v>1468830.15</v>
      </c>
      <c r="Z14" s="29">
        <f>+Y14/$B14</f>
        <v>0.10772815877299077</v>
      </c>
      <c r="AA14" s="30">
        <f>+C14+E14+G14+I14+K14+M14+O14+Q14+S14+U14+W14+Y14</f>
        <v>13634598.110000003</v>
      </c>
      <c r="AB14" s="29">
        <f t="shared" si="2"/>
        <v>1.0000000000000002</v>
      </c>
    </row>
    <row r="15" spans="1:28" hidden="1">
      <c r="A15" s="41" t="s">
        <v>56</v>
      </c>
      <c r="B15" s="44">
        <f>SUM(B16:B20)</f>
        <v>305638.37</v>
      </c>
      <c r="C15" s="44">
        <f>SUM(C16:C20)</f>
        <v>100027.6</v>
      </c>
      <c r="D15" s="45">
        <f>+C15/B15</f>
        <v>0.32727435367490021</v>
      </c>
      <c r="E15" s="44">
        <f t="shared" ref="E15:Y15" si="9">SUM(E16:E20)</f>
        <v>100027.6</v>
      </c>
      <c r="F15" s="42">
        <f>+E15/$B15</f>
        <v>0.32727435367490021</v>
      </c>
      <c r="G15" s="44">
        <f t="shared" si="9"/>
        <v>100027.61</v>
      </c>
      <c r="H15" s="42">
        <f>+G15/$B15</f>
        <v>0.32727438639330525</v>
      </c>
      <c r="I15" s="44">
        <f t="shared" si="9"/>
        <v>0</v>
      </c>
      <c r="J15" s="42">
        <f t="shared" si="0"/>
        <v>0</v>
      </c>
      <c r="K15" s="44">
        <f t="shared" si="9"/>
        <v>5555.56</v>
      </c>
      <c r="L15" s="42">
        <f t="shared" si="4"/>
        <v>1.8176906256894384E-2</v>
      </c>
      <c r="M15" s="44">
        <f t="shared" si="9"/>
        <v>0</v>
      </c>
      <c r="N15" s="42">
        <f>+M15/$B15</f>
        <v>0</v>
      </c>
      <c r="O15" s="44">
        <f t="shared" si="9"/>
        <v>0</v>
      </c>
      <c r="P15" s="42">
        <f>+O15/$B15</f>
        <v>0</v>
      </c>
      <c r="Q15" s="44">
        <f t="shared" si="9"/>
        <v>0</v>
      </c>
      <c r="R15" s="42">
        <f t="shared" si="6"/>
        <v>0</v>
      </c>
      <c r="S15" s="44">
        <f t="shared" si="9"/>
        <v>0</v>
      </c>
      <c r="T15" s="42">
        <f t="shared" si="7"/>
        <v>0</v>
      </c>
      <c r="U15" s="44">
        <f t="shared" si="9"/>
        <v>0</v>
      </c>
      <c r="V15" s="42">
        <f t="shared" si="8"/>
        <v>0</v>
      </c>
      <c r="W15" s="44">
        <f t="shared" si="9"/>
        <v>0</v>
      </c>
      <c r="X15" s="42">
        <f>+W15/$B15</f>
        <v>0</v>
      </c>
      <c r="Y15" s="44">
        <f t="shared" si="9"/>
        <v>0</v>
      </c>
      <c r="Z15" s="42">
        <f>+Y15/$B15</f>
        <v>0</v>
      </c>
      <c r="AA15" s="44">
        <f>+C15+E15+G15+I15+K15+M15+O15+Q15+S15+U15+W15+Y15</f>
        <v>305638.37</v>
      </c>
      <c r="AB15" s="42">
        <f t="shared" si="2"/>
        <v>1</v>
      </c>
    </row>
    <row r="16" spans="1:28" hidden="1">
      <c r="A16" s="11" t="s">
        <v>47</v>
      </c>
      <c r="B16" s="28">
        <v>0</v>
      </c>
      <c r="C16" s="28">
        <v>0</v>
      </c>
      <c r="D16" s="34"/>
      <c r="E16" s="28"/>
      <c r="F16" s="29"/>
      <c r="G16" s="28"/>
      <c r="H16" s="29"/>
      <c r="I16" s="28"/>
      <c r="J16" s="29"/>
      <c r="K16" s="28"/>
      <c r="L16" s="29"/>
      <c r="M16" s="28"/>
      <c r="N16" s="29"/>
      <c r="O16" s="28"/>
      <c r="P16" s="29"/>
      <c r="Q16" s="28"/>
      <c r="R16" s="29"/>
      <c r="S16" s="28"/>
      <c r="T16" s="29"/>
      <c r="U16" s="28"/>
      <c r="V16" s="29"/>
      <c r="W16" s="28"/>
      <c r="X16" s="29"/>
      <c r="Y16" s="28"/>
      <c r="Z16" s="29"/>
      <c r="AA16" s="30"/>
      <c r="AB16" s="29"/>
    </row>
    <row r="17" spans="1:28" hidden="1">
      <c r="A17" s="11" t="s">
        <v>48</v>
      </c>
      <c r="B17" s="28">
        <v>0</v>
      </c>
      <c r="C17" s="28"/>
      <c r="D17" s="34"/>
      <c r="E17" s="28"/>
      <c r="F17" s="29"/>
      <c r="G17" s="28"/>
      <c r="H17" s="29"/>
      <c r="I17" s="28"/>
      <c r="J17" s="29"/>
      <c r="K17" s="28"/>
      <c r="L17" s="29"/>
      <c r="M17" s="28"/>
      <c r="N17" s="29"/>
      <c r="O17" s="28"/>
      <c r="P17" s="29"/>
      <c r="Q17" s="28"/>
      <c r="R17" s="29"/>
      <c r="S17" s="28"/>
      <c r="T17" s="29"/>
      <c r="U17" s="28"/>
      <c r="V17" s="29"/>
      <c r="W17" s="28"/>
      <c r="X17" s="29"/>
      <c r="Y17" s="28"/>
      <c r="Z17" s="29"/>
      <c r="AA17" s="30"/>
      <c r="AB17" s="29"/>
    </row>
    <row r="18" spans="1:28" hidden="1">
      <c r="A18" s="11" t="s">
        <v>33</v>
      </c>
      <c r="B18" s="28">
        <v>305638.37</v>
      </c>
      <c r="C18" s="28">
        <v>100027.6</v>
      </c>
      <c r="D18" s="29">
        <f>+C18/$B$18</f>
        <v>0.32727435367490021</v>
      </c>
      <c r="E18" s="28">
        <v>100027.6</v>
      </c>
      <c r="F18" s="29">
        <f>+E18/$B$18</f>
        <v>0.32727435367490021</v>
      </c>
      <c r="G18" s="28">
        <v>100027.61</v>
      </c>
      <c r="H18" s="29">
        <f>+G18/$B$18</f>
        <v>0.32727438639330525</v>
      </c>
      <c r="I18" s="28"/>
      <c r="J18" s="29"/>
      <c r="K18" s="28">
        <v>5555.56</v>
      </c>
      <c r="L18" s="29">
        <f>+K18/$B$18</f>
        <v>1.8176906256894384E-2</v>
      </c>
      <c r="M18" s="28"/>
      <c r="N18" s="34">
        <f>+M18/$B$18</f>
        <v>0</v>
      </c>
      <c r="O18" s="28"/>
      <c r="P18" s="34">
        <f>+O18/$B$18</f>
        <v>0</v>
      </c>
      <c r="Q18" s="28"/>
      <c r="R18" s="34">
        <f>+Q18/$B$18</f>
        <v>0</v>
      </c>
      <c r="S18" s="28"/>
      <c r="T18" s="34">
        <f>+S18/$B$18</f>
        <v>0</v>
      </c>
      <c r="U18" s="28"/>
      <c r="V18" s="34">
        <f>+U18/$B$18</f>
        <v>0</v>
      </c>
      <c r="W18" s="28"/>
      <c r="X18" s="34">
        <f>+W18/$B$18</f>
        <v>0</v>
      </c>
      <c r="Y18" s="28"/>
      <c r="Z18" s="34">
        <f>+Y18/$B$18</f>
        <v>0</v>
      </c>
      <c r="AA18" s="30">
        <f>+C18+E18+G18+I18+K18+M18+O18+Q18+S18+U18+W18+Y18</f>
        <v>305638.37</v>
      </c>
      <c r="AB18" s="29">
        <f>+AA18/$B$18</f>
        <v>1</v>
      </c>
    </row>
    <row r="19" spans="1:28" hidden="1">
      <c r="A19" s="11" t="s">
        <v>49</v>
      </c>
      <c r="B19" s="28">
        <v>0</v>
      </c>
      <c r="C19" s="28">
        <v>0</v>
      </c>
      <c r="D19" s="34"/>
      <c r="E19" s="28">
        <v>0</v>
      </c>
      <c r="F19" s="29"/>
      <c r="G19" s="28">
        <v>0</v>
      </c>
      <c r="H19" s="29"/>
      <c r="I19" s="28">
        <v>0</v>
      </c>
      <c r="J19" s="29"/>
      <c r="K19" s="28">
        <v>0</v>
      </c>
      <c r="L19" s="29"/>
      <c r="M19" s="28">
        <v>0</v>
      </c>
      <c r="N19" s="29"/>
      <c r="O19" s="28">
        <v>0</v>
      </c>
      <c r="P19" s="29"/>
      <c r="Q19" s="28">
        <v>0</v>
      </c>
      <c r="R19" s="29"/>
      <c r="S19" s="28">
        <v>0</v>
      </c>
      <c r="T19" s="29"/>
      <c r="U19" s="28">
        <v>0</v>
      </c>
      <c r="V19" s="29"/>
      <c r="W19" s="28">
        <v>0</v>
      </c>
      <c r="X19" s="29"/>
      <c r="Y19" s="28">
        <v>0</v>
      </c>
      <c r="Z19" s="29"/>
      <c r="AA19" s="30">
        <f>+C19+E19+G19+I19+K19+M19+O19+Q19+S19+U19+W19+Y19</f>
        <v>0</v>
      </c>
      <c r="AB19" s="29"/>
    </row>
    <row r="20" spans="1:28" hidden="1">
      <c r="A20" s="11" t="s">
        <v>34</v>
      </c>
      <c r="B20" s="28">
        <v>0</v>
      </c>
      <c r="C20" s="28">
        <v>0</v>
      </c>
      <c r="D20" s="34"/>
      <c r="E20" s="28">
        <v>0</v>
      </c>
      <c r="F20" s="29"/>
      <c r="G20" s="28">
        <v>0</v>
      </c>
      <c r="H20" s="29"/>
      <c r="I20" s="28">
        <v>0</v>
      </c>
      <c r="J20" s="29"/>
      <c r="K20" s="28">
        <v>0</v>
      </c>
      <c r="L20" s="29"/>
      <c r="M20" s="28">
        <v>0</v>
      </c>
      <c r="N20" s="29"/>
      <c r="O20" s="28">
        <v>0</v>
      </c>
      <c r="P20" s="29"/>
      <c r="Q20" s="28">
        <v>0</v>
      </c>
      <c r="R20" s="29"/>
      <c r="S20" s="28">
        <v>0</v>
      </c>
      <c r="T20" s="29"/>
      <c r="U20" s="28">
        <v>0</v>
      </c>
      <c r="V20" s="29"/>
      <c r="W20" s="28">
        <v>0</v>
      </c>
      <c r="X20" s="29"/>
      <c r="Y20" s="28">
        <v>0</v>
      </c>
      <c r="Z20" s="29"/>
      <c r="AA20" s="30">
        <f>+C20+E20+G20+I20+K20+M20+O20+Q20+S20+U20+W20+Y20</f>
        <v>0</v>
      </c>
      <c r="AB20" s="29"/>
    </row>
    <row r="21" spans="1:28" hidden="1">
      <c r="A21" s="39" t="s">
        <v>16</v>
      </c>
      <c r="B21" s="46">
        <f t="shared" ref="B21:Z21" si="10">+B6+B15</f>
        <v>100720762.12</v>
      </c>
      <c r="C21" s="46">
        <f t="shared" si="10"/>
        <v>21616938.140000001</v>
      </c>
      <c r="D21" s="40">
        <f t="shared" si="10"/>
        <v>0.54155393364703563</v>
      </c>
      <c r="E21" s="46">
        <f t="shared" si="10"/>
        <v>15694897.76</v>
      </c>
      <c r="F21" s="40">
        <f t="shared" si="10"/>
        <v>0.48257835149524847</v>
      </c>
      <c r="G21" s="46">
        <f t="shared" si="10"/>
        <v>12787112.4</v>
      </c>
      <c r="H21" s="40">
        <f t="shared" si="10"/>
        <v>0.45362074056985924</v>
      </c>
      <c r="I21" s="46">
        <f t="shared" si="10"/>
        <v>10701048.199999999</v>
      </c>
      <c r="J21" s="40">
        <f t="shared" si="10"/>
        <v>0.10656809253795298</v>
      </c>
      <c r="K21" s="46">
        <f t="shared" si="10"/>
        <v>6623782.4799999986</v>
      </c>
      <c r="L21" s="40">
        <f t="shared" si="10"/>
        <v>8.4085572928233321E-2</v>
      </c>
      <c r="M21" s="46">
        <f t="shared" si="10"/>
        <v>4921622.8499999996</v>
      </c>
      <c r="N21" s="40">
        <f t="shared" si="10"/>
        <v>4.9012764872482663E-2</v>
      </c>
      <c r="O21" s="46">
        <f t="shared" si="10"/>
        <v>5345331.7899999991</v>
      </c>
      <c r="P21" s="40">
        <f t="shared" si="10"/>
        <v>5.3232337823016417E-2</v>
      </c>
      <c r="Q21" s="46">
        <f t="shared" si="10"/>
        <v>4430532.88</v>
      </c>
      <c r="R21" s="40">
        <f t="shared" si="10"/>
        <v>4.4122167204917677E-2</v>
      </c>
      <c r="S21" s="46">
        <f t="shared" si="10"/>
        <v>4901736</v>
      </c>
      <c r="T21" s="40">
        <f t="shared" si="10"/>
        <v>4.8814718509969469E-2</v>
      </c>
      <c r="U21" s="46">
        <f t="shared" si="10"/>
        <v>5482858.2800000003</v>
      </c>
      <c r="V21" s="40">
        <f t="shared" si="10"/>
        <v>5.4601917273442588E-2</v>
      </c>
      <c r="W21" s="46">
        <f t="shared" si="10"/>
        <v>3730519.33</v>
      </c>
      <c r="X21" s="40">
        <f t="shared" si="10"/>
        <v>3.7150970796866641E-2</v>
      </c>
      <c r="Y21" s="46">
        <f t="shared" si="10"/>
        <v>4484382.01</v>
      </c>
      <c r="Z21" s="40">
        <f t="shared" si="10"/>
        <v>4.4658432340974927E-2</v>
      </c>
      <c r="AA21" s="46">
        <f>+C21+E21+G21+I21+K21+M21+O21+Q21+S21+U21+W21+Y21</f>
        <v>100720762.12</v>
      </c>
      <c r="AB21" s="40">
        <f>+AA21/B21</f>
        <v>1</v>
      </c>
    </row>
    <row r="22" spans="1:28" hidden="1">
      <c r="K22" s="26"/>
    </row>
    <row r="23" spans="1:28" ht="18" hidden="1" customHeight="1">
      <c r="A23" s="263" t="s">
        <v>0</v>
      </c>
      <c r="B23" s="263"/>
      <c r="C23" s="263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</row>
    <row r="24" spans="1:28" ht="18" hidden="1">
      <c r="A24" s="263" t="s">
        <v>58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</row>
    <row r="25" spans="1:28" hidden="1">
      <c r="A25" s="35"/>
      <c r="B25" s="35"/>
      <c r="C25" s="31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</row>
    <row r="26" spans="1:28" ht="23.25" hidden="1" customHeight="1">
      <c r="A26" s="264" t="s">
        <v>50</v>
      </c>
      <c r="B26" s="266" t="s">
        <v>57</v>
      </c>
      <c r="C26" s="267" t="s">
        <v>2</v>
      </c>
      <c r="D26" s="267"/>
      <c r="E26" s="267" t="s">
        <v>3</v>
      </c>
      <c r="F26" s="267"/>
      <c r="G26" s="267" t="s">
        <v>4</v>
      </c>
      <c r="H26" s="267"/>
      <c r="I26" s="267" t="s">
        <v>5</v>
      </c>
      <c r="J26" s="267"/>
      <c r="K26" s="267" t="s">
        <v>6</v>
      </c>
      <c r="L26" s="267"/>
      <c r="M26" s="267" t="s">
        <v>7</v>
      </c>
      <c r="N26" s="267"/>
      <c r="O26" s="267" t="s">
        <v>8</v>
      </c>
      <c r="P26" s="267"/>
      <c r="Q26" s="267" t="s">
        <v>9</v>
      </c>
      <c r="R26" s="267"/>
      <c r="S26" s="267" t="s">
        <v>10</v>
      </c>
      <c r="T26" s="267"/>
      <c r="U26" s="267" t="s">
        <v>11</v>
      </c>
      <c r="V26" s="267"/>
      <c r="W26" s="267" t="s">
        <v>12</v>
      </c>
      <c r="X26" s="267"/>
      <c r="Y26" s="267" t="s">
        <v>13</v>
      </c>
      <c r="Z26" s="267"/>
      <c r="AA26" s="267" t="s">
        <v>14</v>
      </c>
      <c r="AB26" s="267"/>
    </row>
    <row r="27" spans="1:28" hidden="1">
      <c r="A27" s="265"/>
      <c r="B27" s="266"/>
      <c r="C27" s="3" t="s">
        <v>1</v>
      </c>
      <c r="D27" s="3" t="s">
        <v>15</v>
      </c>
      <c r="E27" s="3" t="s">
        <v>1</v>
      </c>
      <c r="F27" s="3"/>
      <c r="G27" s="3" t="s">
        <v>1</v>
      </c>
      <c r="H27" s="3"/>
      <c r="I27" s="3" t="s">
        <v>1</v>
      </c>
      <c r="J27" s="3" t="s">
        <v>15</v>
      </c>
      <c r="K27" s="3" t="s">
        <v>1</v>
      </c>
      <c r="L27" s="3" t="s">
        <v>15</v>
      </c>
      <c r="M27" s="3" t="s">
        <v>1</v>
      </c>
      <c r="N27" s="3" t="s">
        <v>15</v>
      </c>
      <c r="O27" s="3" t="s">
        <v>1</v>
      </c>
      <c r="P27" s="3" t="s">
        <v>15</v>
      </c>
      <c r="Q27" s="3" t="s">
        <v>1</v>
      </c>
      <c r="R27" s="3" t="s">
        <v>15</v>
      </c>
      <c r="S27" s="3" t="s">
        <v>1</v>
      </c>
      <c r="T27" s="3" t="s">
        <v>15</v>
      </c>
      <c r="U27" s="3" t="s">
        <v>1</v>
      </c>
      <c r="V27" s="3" t="s">
        <v>15</v>
      </c>
      <c r="W27" s="3" t="s">
        <v>1</v>
      </c>
      <c r="X27" s="3" t="s">
        <v>15</v>
      </c>
      <c r="Y27" s="3" t="s">
        <v>1</v>
      </c>
      <c r="Z27" s="3" t="s">
        <v>15</v>
      </c>
      <c r="AA27" s="3" t="s">
        <v>1</v>
      </c>
      <c r="AB27" s="3" t="s">
        <v>15</v>
      </c>
    </row>
    <row r="28" spans="1:28" hidden="1">
      <c r="A28" s="41" t="s">
        <v>28</v>
      </c>
      <c r="B28" s="44">
        <f>SUM(B29:B36)</f>
        <v>101289140.19</v>
      </c>
      <c r="C28" s="44">
        <f>SUM(C29:C36)</f>
        <v>26201262.630000003</v>
      </c>
      <c r="D28" s="42">
        <f>+C28/$B28</f>
        <v>0.25867790545808961</v>
      </c>
      <c r="E28" s="44">
        <f>SUM(E29:E36)</f>
        <v>16209663.59</v>
      </c>
      <c r="F28" s="42">
        <f>+E28/$B28</f>
        <v>0.16003357871923504</v>
      </c>
      <c r="G28" s="44">
        <f>SUM(G29:G36)</f>
        <v>13475234.690000001</v>
      </c>
      <c r="H28" s="42">
        <f>+G28/$B28</f>
        <v>0.13303730947585213</v>
      </c>
      <c r="I28" s="44">
        <f>SUM(I29:I36)</f>
        <v>8951521.25</v>
      </c>
      <c r="J28" s="42">
        <f t="shared" ref="J28:J36" si="11">+I28/$B28</f>
        <v>8.8375922958853978E-2</v>
      </c>
      <c r="K28" s="44">
        <f>SUM(K29:K36)</f>
        <v>6318990.0799999991</v>
      </c>
      <c r="L28" s="42">
        <f>+K28/$B28</f>
        <v>6.2385662156344932E-2</v>
      </c>
      <c r="M28" s="44">
        <f>SUM(M29:M36)</f>
        <v>5060305.38</v>
      </c>
      <c r="N28" s="42">
        <f>+M28/$B28</f>
        <v>4.9959012096536588E-2</v>
      </c>
      <c r="O28" s="44">
        <f>SUM(O29:O36)</f>
        <v>4247844.76</v>
      </c>
      <c r="P28" s="42">
        <f>+O28/$B28</f>
        <v>4.1937810430928882E-2</v>
      </c>
      <c r="Q28" s="44">
        <f>SUM(Q29:Q36)</f>
        <v>3905593.59</v>
      </c>
      <c r="R28" s="42">
        <f>+Q28/$B28</f>
        <v>3.8558858162620564E-2</v>
      </c>
      <c r="S28" s="44">
        <f>SUM(S29:S36)</f>
        <v>3939301.26</v>
      </c>
      <c r="T28" s="42">
        <f>+S28/$B28</f>
        <v>3.8891644776632393E-2</v>
      </c>
      <c r="U28" s="44">
        <f>SUM(U29:U36)</f>
        <v>4190494.94</v>
      </c>
      <c r="V28" s="42">
        <f>+U28/$B28</f>
        <v>4.137161133108045E-2</v>
      </c>
      <c r="W28" s="44">
        <f>SUM(W29:W36)</f>
        <v>3916182.27</v>
      </c>
      <c r="X28" s="42">
        <f>+W28/$B28</f>
        <v>3.8663397306502499E-2</v>
      </c>
      <c r="Y28" s="44">
        <f>SUM(Y29:Y36)</f>
        <v>4872745.75</v>
      </c>
      <c r="Z28" s="42">
        <f>+Y28/$B28</f>
        <v>4.8107287127322984E-2</v>
      </c>
      <c r="AA28" s="44">
        <f>+C28+E28+G28+I28+K28+M28+O28+Q28+S28+U28+W28+Y28</f>
        <v>101289140.19</v>
      </c>
      <c r="AB28" s="42">
        <f>+AA28/$B28</f>
        <v>1</v>
      </c>
    </row>
    <row r="29" spans="1:28" hidden="1">
      <c r="A29" s="11" t="s">
        <v>42</v>
      </c>
      <c r="B29" s="28">
        <v>0</v>
      </c>
      <c r="C29" s="28"/>
      <c r="D29" s="29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8"/>
      <c r="R29" s="29"/>
      <c r="S29" s="28"/>
      <c r="T29" s="29"/>
      <c r="U29" s="28"/>
      <c r="V29" s="29"/>
      <c r="W29" s="28"/>
      <c r="X29" s="29"/>
      <c r="Y29" s="28"/>
      <c r="Z29" s="29"/>
      <c r="AA29" s="30"/>
      <c r="AB29" s="29"/>
    </row>
    <row r="30" spans="1:28" hidden="1">
      <c r="A30" s="11" t="s">
        <v>31</v>
      </c>
      <c r="B30" s="28">
        <v>73921278.099999994</v>
      </c>
      <c r="C30" s="30">
        <v>24115274.690000001</v>
      </c>
      <c r="D30" s="114">
        <f>+C30/$B30</f>
        <v>0.32622913604628279</v>
      </c>
      <c r="E30" s="30">
        <v>14133131.09</v>
      </c>
      <c r="F30" s="114">
        <f>+E30/$B30</f>
        <v>0.19119164945823633</v>
      </c>
      <c r="G30" s="30">
        <v>11008909.6</v>
      </c>
      <c r="H30" s="114">
        <f>+G30/$B30</f>
        <v>0.148927479109699</v>
      </c>
      <c r="I30" s="30">
        <v>6949959.7800000003</v>
      </c>
      <c r="J30" s="114">
        <f t="shared" si="11"/>
        <v>9.4018393061307215E-2</v>
      </c>
      <c r="K30" s="30">
        <v>4247899.88</v>
      </c>
      <c r="L30" s="114">
        <f>+K30/$B30</f>
        <v>5.7465184439228469E-2</v>
      </c>
      <c r="M30" s="30">
        <v>2810633.28</v>
      </c>
      <c r="N30" s="114">
        <f>+M30/$B30</f>
        <v>3.8021978951686984E-2</v>
      </c>
      <c r="O30" s="30">
        <v>1814096.32</v>
      </c>
      <c r="P30" s="114">
        <f>+O30/$B30</f>
        <v>2.4540922000102702E-2</v>
      </c>
      <c r="Q30" s="30">
        <v>1500156.64</v>
      </c>
      <c r="R30" s="114">
        <f>+Q30/$B30</f>
        <v>2.0293975950613333E-2</v>
      </c>
      <c r="S30" s="30">
        <v>1503718.63</v>
      </c>
      <c r="T30" s="114">
        <f>+S30/$B30</f>
        <v>2.0342162211613602E-2</v>
      </c>
      <c r="U30" s="30">
        <v>1890702.95</v>
      </c>
      <c r="V30" s="114">
        <f>+U30/$B30</f>
        <v>2.5577249184494284E-2</v>
      </c>
      <c r="W30" s="30">
        <v>1792418.18</v>
      </c>
      <c r="X30" s="114">
        <f>+W30/$B30</f>
        <v>2.4247662189704484E-2</v>
      </c>
      <c r="Y30" s="30">
        <v>2154377.06</v>
      </c>
      <c r="Z30" s="114">
        <f>+Y30/$B30</f>
        <v>2.9144207397030927E-2</v>
      </c>
      <c r="AA30" s="30">
        <f>+C30+E30+G30+I30+K30+M30+O30+Q30+S30+U30+W30+Y30</f>
        <v>73921278.100000024</v>
      </c>
      <c r="AB30" s="29">
        <f>+AA30/$B30</f>
        <v>1.0000000000000004</v>
      </c>
    </row>
    <row r="31" spans="1:28" hidden="1">
      <c r="A31" s="11" t="s">
        <v>32</v>
      </c>
      <c r="B31" s="28">
        <v>2417669.96</v>
      </c>
      <c r="C31" s="30">
        <v>91878.62</v>
      </c>
      <c r="D31" s="114">
        <f>+C31/$B31</f>
        <v>3.8002962157829022E-2</v>
      </c>
      <c r="E31" s="30">
        <v>153528.07</v>
      </c>
      <c r="F31" s="114">
        <f>+E31/$B31</f>
        <v>6.350249311944961E-2</v>
      </c>
      <c r="G31" s="30">
        <v>195377.13</v>
      </c>
      <c r="H31" s="114">
        <f>+G31/$B31</f>
        <v>8.0812159323847499E-2</v>
      </c>
      <c r="I31" s="30">
        <v>249856.72</v>
      </c>
      <c r="J31" s="114">
        <f t="shared" si="11"/>
        <v>0.10334608285408815</v>
      </c>
      <c r="K31" s="30">
        <v>252813.77</v>
      </c>
      <c r="L31" s="114">
        <f>+K31/$B31</f>
        <v>0.10456918197387041</v>
      </c>
      <c r="M31" s="30">
        <v>280026.08</v>
      </c>
      <c r="N31" s="114">
        <f>+M31/$B31</f>
        <v>0.11582477535519366</v>
      </c>
      <c r="O31" s="30">
        <v>255286.39</v>
      </c>
      <c r="P31" s="114">
        <f>+O31/$B31</f>
        <v>0.10559191048558175</v>
      </c>
      <c r="Q31" s="30">
        <v>245765.23</v>
      </c>
      <c r="R31" s="114">
        <f>+Q31/$B31</f>
        <v>0.10165375508905278</v>
      </c>
      <c r="S31" s="30">
        <v>218420.84</v>
      </c>
      <c r="T31" s="114">
        <f>+S31/$B31</f>
        <v>9.0343530595052762E-2</v>
      </c>
      <c r="U31" s="30">
        <v>179112.74</v>
      </c>
      <c r="V31" s="114">
        <f>+U31/$B31</f>
        <v>7.4084859787892629E-2</v>
      </c>
      <c r="W31" s="30">
        <v>155879.04999999999</v>
      </c>
      <c r="X31" s="114">
        <f>+W31/$B31</f>
        <v>6.4474908725755106E-2</v>
      </c>
      <c r="Y31" s="30">
        <v>139725.32</v>
      </c>
      <c r="Z31" s="114">
        <f>+Y31/$B31</f>
        <v>5.7793380532386647E-2</v>
      </c>
      <c r="AA31" s="30">
        <f>+C31+E31+G31+I31+K31+M31+O31+Q31+S31+U31+W31+Y31</f>
        <v>2417669.96</v>
      </c>
      <c r="AB31" s="29">
        <f>+AA31/$B31</f>
        <v>1</v>
      </c>
    </row>
    <row r="32" spans="1:28" hidden="1">
      <c r="A32" s="11" t="s">
        <v>43</v>
      </c>
      <c r="B32" s="28">
        <v>0</v>
      </c>
      <c r="C32" s="30"/>
      <c r="D32" s="114"/>
      <c r="E32" s="30"/>
      <c r="F32" s="114"/>
      <c r="G32" s="30"/>
      <c r="H32" s="114"/>
      <c r="I32" s="30"/>
      <c r="J32" s="114"/>
      <c r="K32" s="30"/>
      <c r="L32" s="114"/>
      <c r="M32" s="30"/>
      <c r="N32" s="114"/>
      <c r="O32" s="30"/>
      <c r="P32" s="114"/>
      <c r="Q32" s="30"/>
      <c r="R32" s="114"/>
      <c r="S32" s="30"/>
      <c r="T32" s="114"/>
      <c r="U32" s="30"/>
      <c r="V32" s="114"/>
      <c r="W32" s="30"/>
      <c r="X32" s="114"/>
      <c r="Y32" s="30"/>
      <c r="Z32" s="114"/>
      <c r="AA32" s="30"/>
      <c r="AB32" s="29"/>
    </row>
    <row r="33" spans="1:28" hidden="1">
      <c r="A33" s="11" t="s">
        <v>44</v>
      </c>
      <c r="B33" s="28">
        <v>0</v>
      </c>
      <c r="C33" s="30"/>
      <c r="D33" s="114"/>
      <c r="E33" s="30"/>
      <c r="F33" s="114"/>
      <c r="G33" s="30"/>
      <c r="H33" s="114"/>
      <c r="I33" s="30"/>
      <c r="J33" s="114"/>
      <c r="K33" s="30"/>
      <c r="L33" s="114"/>
      <c r="M33" s="30"/>
      <c r="N33" s="114"/>
      <c r="O33" s="30"/>
      <c r="P33" s="114"/>
      <c r="Q33" s="30"/>
      <c r="R33" s="114"/>
      <c r="S33" s="30"/>
      <c r="T33" s="114"/>
      <c r="U33" s="30"/>
      <c r="V33" s="114"/>
      <c r="W33" s="30"/>
      <c r="X33" s="114"/>
      <c r="Y33" s="30"/>
      <c r="Z33" s="114"/>
      <c r="AA33" s="30"/>
      <c r="AB33" s="29"/>
    </row>
    <row r="34" spans="1:28" hidden="1">
      <c r="A34" s="11" t="s">
        <v>45</v>
      </c>
      <c r="B34" s="28">
        <v>10374821.17</v>
      </c>
      <c r="C34" s="30">
        <v>1168080.6200000001</v>
      </c>
      <c r="D34" s="114">
        <f>+C34/$B34</f>
        <v>0.11258802449314893</v>
      </c>
      <c r="E34" s="30">
        <v>1029256.28</v>
      </c>
      <c r="F34" s="114">
        <f>+E34/$B34</f>
        <v>9.9207134574638658E-2</v>
      </c>
      <c r="G34" s="30">
        <v>1158397.8899999999</v>
      </c>
      <c r="H34" s="114">
        <f>+G34/$B34</f>
        <v>0.11165473322563303</v>
      </c>
      <c r="I34" s="30">
        <v>878141.49</v>
      </c>
      <c r="J34" s="114">
        <f t="shared" si="11"/>
        <v>8.4641602550147854E-2</v>
      </c>
      <c r="K34" s="30">
        <v>851960.29</v>
      </c>
      <c r="L34" s="114">
        <f>+K34/$B34</f>
        <v>8.2118069896331525E-2</v>
      </c>
      <c r="M34" s="30">
        <v>849743.97</v>
      </c>
      <c r="N34" s="114">
        <f>+M34/$B34</f>
        <v>8.1904445009339855E-2</v>
      </c>
      <c r="O34" s="30">
        <v>873335.68</v>
      </c>
      <c r="P34" s="114">
        <f>+O34/$B34</f>
        <v>8.4178383963412456E-2</v>
      </c>
      <c r="Q34" s="30">
        <v>922600.27</v>
      </c>
      <c r="R34" s="114">
        <f>+Q34/$B34</f>
        <v>8.8926860027988316E-2</v>
      </c>
      <c r="S34" s="30">
        <v>798142.78</v>
      </c>
      <c r="T34" s="114">
        <f>+S34/$B34</f>
        <v>7.6930750604928266E-2</v>
      </c>
      <c r="U34" s="30">
        <v>704319.08</v>
      </c>
      <c r="V34" s="114">
        <f>+U34/$B34</f>
        <v>6.7887346534378862E-2</v>
      </c>
      <c r="W34" s="30">
        <v>587198.96</v>
      </c>
      <c r="X34" s="114">
        <f>+W34/$B34</f>
        <v>5.6598465687095784E-2</v>
      </c>
      <c r="Y34" s="30">
        <v>553643.86</v>
      </c>
      <c r="Z34" s="114">
        <f>+Y34/$B34</f>
        <v>5.3364183432956465E-2</v>
      </c>
      <c r="AA34" s="30">
        <f>+C34+E34+G34+I34+K34+M34+O34+Q34+S34+U34+W34+Y34</f>
        <v>10374821.169999998</v>
      </c>
      <c r="AB34" s="29">
        <f>+AA34/$B34</f>
        <v>0.99999999999999978</v>
      </c>
    </row>
    <row r="35" spans="1:28" hidden="1">
      <c r="A35" s="11" t="s">
        <v>46</v>
      </c>
      <c r="B35" s="28">
        <v>0</v>
      </c>
      <c r="C35" s="30"/>
      <c r="D35" s="114"/>
      <c r="E35" s="30"/>
      <c r="F35" s="114"/>
      <c r="G35" s="30"/>
      <c r="H35" s="114"/>
      <c r="I35" s="30"/>
      <c r="J35" s="114"/>
      <c r="K35" s="30"/>
      <c r="L35" s="114"/>
      <c r="M35" s="30"/>
      <c r="N35" s="114"/>
      <c r="O35" s="30"/>
      <c r="P35" s="114"/>
      <c r="Q35" s="30"/>
      <c r="R35" s="114"/>
      <c r="S35" s="30"/>
      <c r="T35" s="114"/>
      <c r="U35" s="30"/>
      <c r="V35" s="114"/>
      <c r="W35" s="30"/>
      <c r="X35" s="114"/>
      <c r="Y35" s="30"/>
      <c r="Z35" s="114"/>
      <c r="AA35" s="30"/>
      <c r="AB35" s="29"/>
    </row>
    <row r="36" spans="1:28" hidden="1">
      <c r="A36" s="11" t="s">
        <v>35</v>
      </c>
      <c r="B36" s="28">
        <v>14575370.960000001</v>
      </c>
      <c r="C36" s="30">
        <v>826028.7</v>
      </c>
      <c r="D36" s="114">
        <f>+C36/$B36</f>
        <v>5.6672910917116029E-2</v>
      </c>
      <c r="E36" s="30">
        <v>893748.15</v>
      </c>
      <c r="F36" s="114">
        <f>+E36/$B36</f>
        <v>6.1319067106611738E-2</v>
      </c>
      <c r="G36" s="30">
        <v>1112550.07</v>
      </c>
      <c r="H36" s="114">
        <f>+G36/$B36</f>
        <v>7.6330823623853752E-2</v>
      </c>
      <c r="I36" s="30">
        <v>873563.26</v>
      </c>
      <c r="J36" s="114">
        <f t="shared" si="11"/>
        <v>5.9934204240658311E-2</v>
      </c>
      <c r="K36" s="30">
        <v>966316.14</v>
      </c>
      <c r="L36" s="114">
        <f>+K36/$B36</f>
        <v>6.6297876236009023E-2</v>
      </c>
      <c r="M36" s="30">
        <v>1119902.05</v>
      </c>
      <c r="N36" s="114">
        <f>+M36/$B36</f>
        <v>7.6835234799403004E-2</v>
      </c>
      <c r="O36" s="30">
        <v>1305126.3700000001</v>
      </c>
      <c r="P36" s="114">
        <f>+O36/$B36</f>
        <v>8.9543269504545081E-2</v>
      </c>
      <c r="Q36" s="30">
        <v>1237071.45</v>
      </c>
      <c r="R36" s="114">
        <f>+Q36/$B36</f>
        <v>8.4874097091248227E-2</v>
      </c>
      <c r="S36" s="30">
        <v>1419019.01</v>
      </c>
      <c r="T36" s="114">
        <f>+S36/$B36</f>
        <v>9.7357316935143032E-2</v>
      </c>
      <c r="U36" s="30">
        <v>1416360.17</v>
      </c>
      <c r="V36" s="114">
        <f>+U36/$B36</f>
        <v>9.7174896878233538E-2</v>
      </c>
      <c r="W36" s="30">
        <v>1380686.08</v>
      </c>
      <c r="X36" s="114">
        <f>+W36/$B36</f>
        <v>9.4727337217631949E-2</v>
      </c>
      <c r="Y36" s="30">
        <v>2024999.51</v>
      </c>
      <c r="Z36" s="114">
        <f>+Y36/$B36</f>
        <v>0.13893296544954625</v>
      </c>
      <c r="AA36" s="30">
        <f>+C36+E36+G36+I36+K36+M36+O36+Q36+S36+U36+W36+Y36</f>
        <v>14575370.959999999</v>
      </c>
      <c r="AB36" s="29">
        <f>+AA36/$B36</f>
        <v>0.99999999999999989</v>
      </c>
    </row>
    <row r="37" spans="1:28" hidden="1">
      <c r="A37" s="41" t="s">
        <v>56</v>
      </c>
      <c r="B37" s="44">
        <f>SUM(B38:B42)</f>
        <v>0</v>
      </c>
      <c r="C37" s="44">
        <f>SUM(C38:C42)</f>
        <v>0</v>
      </c>
      <c r="D37" s="45"/>
      <c r="E37" s="44">
        <f>SUM(E38:E42)</f>
        <v>0</v>
      </c>
      <c r="F37" s="42"/>
      <c r="G37" s="44">
        <f>SUM(G38:G42)</f>
        <v>0</v>
      </c>
      <c r="H37" s="42"/>
      <c r="I37" s="44">
        <f>SUM(I38:I42)</f>
        <v>0</v>
      </c>
      <c r="J37" s="42"/>
      <c r="K37" s="44">
        <f>SUM(K38:K42)</f>
        <v>0</v>
      </c>
      <c r="L37" s="42"/>
      <c r="M37" s="44">
        <f>SUM(M38:M42)</f>
        <v>0</v>
      </c>
      <c r="N37" s="42"/>
      <c r="O37" s="44">
        <f>SUM(O38:O42)</f>
        <v>0</v>
      </c>
      <c r="P37" s="42"/>
      <c r="Q37" s="44">
        <f>SUM(Q38:Q42)</f>
        <v>0</v>
      </c>
      <c r="R37" s="42"/>
      <c r="S37" s="44">
        <f>SUM(S38:S42)</f>
        <v>0</v>
      </c>
      <c r="T37" s="42"/>
      <c r="U37" s="44">
        <f>SUM(U38:U42)</f>
        <v>0</v>
      </c>
      <c r="V37" s="42"/>
      <c r="W37" s="44">
        <f>SUM(W38:W42)</f>
        <v>0</v>
      </c>
      <c r="X37" s="42"/>
      <c r="Y37" s="44">
        <f>SUM(Y38:Y42)</f>
        <v>0</v>
      </c>
      <c r="Z37" s="42"/>
      <c r="AA37" s="44">
        <f>+C37+E37+G37+I37+K37+M37+O37+Q37+S37+U37+W37+Y37</f>
        <v>0</v>
      </c>
      <c r="AB37" s="42"/>
    </row>
    <row r="38" spans="1:28" hidden="1">
      <c r="A38" s="11" t="s">
        <v>47</v>
      </c>
      <c r="B38" s="28"/>
      <c r="C38" s="28"/>
      <c r="D38" s="34"/>
      <c r="E38" s="28"/>
      <c r="F38" s="29"/>
      <c r="G38" s="28"/>
      <c r="H38" s="29"/>
      <c r="I38" s="28"/>
      <c r="J38" s="29"/>
      <c r="K38" s="28"/>
      <c r="L38" s="29"/>
      <c r="M38" s="28"/>
      <c r="N38" s="29"/>
      <c r="O38" s="28"/>
      <c r="P38" s="29"/>
      <c r="Q38" s="28"/>
      <c r="R38" s="29"/>
      <c r="S38" s="28"/>
      <c r="T38" s="29"/>
      <c r="U38" s="28"/>
      <c r="V38" s="29"/>
      <c r="W38" s="28"/>
      <c r="X38" s="29"/>
      <c r="Y38" s="28"/>
      <c r="Z38" s="29"/>
      <c r="AA38" s="30"/>
      <c r="AB38" s="29"/>
    </row>
    <row r="39" spans="1:28" hidden="1">
      <c r="A39" s="11" t="s">
        <v>48</v>
      </c>
      <c r="B39" s="28"/>
      <c r="C39" s="28"/>
      <c r="D39" s="34"/>
      <c r="E39" s="28"/>
      <c r="F39" s="29"/>
      <c r="G39" s="28"/>
      <c r="H39" s="29"/>
      <c r="I39" s="28"/>
      <c r="J39" s="29"/>
      <c r="K39" s="28"/>
      <c r="L39" s="29"/>
      <c r="M39" s="28"/>
      <c r="N39" s="29"/>
      <c r="O39" s="28"/>
      <c r="P39" s="29"/>
      <c r="Q39" s="28"/>
      <c r="R39" s="29"/>
      <c r="S39" s="28"/>
      <c r="T39" s="29"/>
      <c r="U39" s="28"/>
      <c r="V39" s="29"/>
      <c r="W39" s="28"/>
      <c r="X39" s="29"/>
      <c r="Y39" s="28"/>
      <c r="Z39" s="29"/>
      <c r="AA39" s="30"/>
      <c r="AB39" s="29"/>
    </row>
    <row r="40" spans="1:28" hidden="1">
      <c r="A40" s="11" t="s">
        <v>33</v>
      </c>
      <c r="B40" s="28"/>
      <c r="C40" s="28"/>
      <c r="D40" s="34"/>
      <c r="E40" s="28"/>
      <c r="F40" s="29"/>
      <c r="G40" s="28"/>
      <c r="H40" s="29"/>
      <c r="I40" s="28"/>
      <c r="J40" s="29"/>
      <c r="K40" s="28"/>
      <c r="L40" s="29"/>
      <c r="M40" s="28"/>
      <c r="N40" s="29"/>
      <c r="O40" s="28"/>
      <c r="P40" s="29"/>
      <c r="Q40" s="28"/>
      <c r="R40" s="29"/>
      <c r="S40" s="28"/>
      <c r="T40" s="29"/>
      <c r="U40" s="28"/>
      <c r="V40" s="29"/>
      <c r="W40" s="28"/>
      <c r="X40" s="29"/>
      <c r="Y40" s="28"/>
      <c r="Z40" s="29"/>
      <c r="AA40" s="30"/>
      <c r="AB40" s="29"/>
    </row>
    <row r="41" spans="1:28" hidden="1">
      <c r="A41" s="11" t="s">
        <v>49</v>
      </c>
      <c r="B41" s="28"/>
      <c r="C41" s="28"/>
      <c r="D41" s="34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8"/>
      <c r="R41" s="29"/>
      <c r="S41" s="28"/>
      <c r="T41" s="29"/>
      <c r="U41" s="28"/>
      <c r="V41" s="29"/>
      <c r="W41" s="28"/>
      <c r="X41" s="29"/>
      <c r="Y41" s="28"/>
      <c r="Z41" s="29"/>
      <c r="AA41" s="30"/>
      <c r="AB41" s="29"/>
    </row>
    <row r="42" spans="1:28" hidden="1">
      <c r="A42" s="11" t="s">
        <v>34</v>
      </c>
      <c r="B42" s="28"/>
      <c r="C42" s="28"/>
      <c r="D42" s="34"/>
      <c r="E42" s="28"/>
      <c r="F42" s="29"/>
      <c r="G42" s="28"/>
      <c r="H42" s="29"/>
      <c r="I42" s="28"/>
      <c r="J42" s="29"/>
      <c r="K42" s="28"/>
      <c r="L42" s="29"/>
      <c r="M42" s="28"/>
      <c r="N42" s="29"/>
      <c r="O42" s="28"/>
      <c r="P42" s="29"/>
      <c r="Q42" s="28"/>
      <c r="R42" s="29"/>
      <c r="S42" s="28"/>
      <c r="T42" s="29"/>
      <c r="U42" s="28"/>
      <c r="V42" s="29"/>
      <c r="W42" s="28"/>
      <c r="X42" s="29"/>
      <c r="Y42" s="28"/>
      <c r="Z42" s="29"/>
      <c r="AA42" s="30"/>
      <c r="AB42" s="29"/>
    </row>
    <row r="43" spans="1:28" hidden="1">
      <c r="A43" s="39" t="s">
        <v>16</v>
      </c>
      <c r="B43" s="46">
        <f t="shared" ref="B43:Z43" si="12">+B28+B37</f>
        <v>101289140.19</v>
      </c>
      <c r="C43" s="46">
        <f t="shared" si="12"/>
        <v>26201262.630000003</v>
      </c>
      <c r="D43" s="40">
        <f t="shared" si="12"/>
        <v>0.25867790545808961</v>
      </c>
      <c r="E43" s="46">
        <f t="shared" si="12"/>
        <v>16209663.59</v>
      </c>
      <c r="F43" s="40">
        <f t="shared" si="12"/>
        <v>0.16003357871923504</v>
      </c>
      <c r="G43" s="46">
        <f t="shared" si="12"/>
        <v>13475234.690000001</v>
      </c>
      <c r="H43" s="40">
        <f t="shared" si="12"/>
        <v>0.13303730947585213</v>
      </c>
      <c r="I43" s="46">
        <f t="shared" si="12"/>
        <v>8951521.25</v>
      </c>
      <c r="J43" s="40">
        <f t="shared" si="12"/>
        <v>8.8375922958853978E-2</v>
      </c>
      <c r="K43" s="46">
        <f t="shared" si="12"/>
        <v>6318990.0799999991</v>
      </c>
      <c r="L43" s="40">
        <f t="shared" si="12"/>
        <v>6.2385662156344932E-2</v>
      </c>
      <c r="M43" s="46">
        <f t="shared" si="12"/>
        <v>5060305.38</v>
      </c>
      <c r="N43" s="40">
        <f t="shared" si="12"/>
        <v>4.9959012096536588E-2</v>
      </c>
      <c r="O43" s="46">
        <f t="shared" si="12"/>
        <v>4247844.76</v>
      </c>
      <c r="P43" s="40">
        <f t="shared" si="12"/>
        <v>4.1937810430928882E-2</v>
      </c>
      <c r="Q43" s="46">
        <f t="shared" si="12"/>
        <v>3905593.59</v>
      </c>
      <c r="R43" s="40">
        <f t="shared" si="12"/>
        <v>3.8558858162620564E-2</v>
      </c>
      <c r="S43" s="46">
        <f t="shared" si="12"/>
        <v>3939301.26</v>
      </c>
      <c r="T43" s="40">
        <f t="shared" si="12"/>
        <v>3.8891644776632393E-2</v>
      </c>
      <c r="U43" s="46">
        <f t="shared" si="12"/>
        <v>4190494.94</v>
      </c>
      <c r="V43" s="40">
        <f t="shared" si="12"/>
        <v>4.137161133108045E-2</v>
      </c>
      <c r="W43" s="46">
        <f t="shared" si="12"/>
        <v>3916182.27</v>
      </c>
      <c r="X43" s="40">
        <f t="shared" si="12"/>
        <v>3.8663397306502499E-2</v>
      </c>
      <c r="Y43" s="46">
        <f t="shared" si="12"/>
        <v>4872745.75</v>
      </c>
      <c r="Z43" s="40">
        <f t="shared" si="12"/>
        <v>4.8107287127322984E-2</v>
      </c>
      <c r="AA43" s="46">
        <f>+C43+E43+G43+I43+K43+M43+O43+Q43+S43+U43+W43+Y43</f>
        <v>101289140.19</v>
      </c>
      <c r="AB43" s="40">
        <f>+AA43/B43</f>
        <v>1</v>
      </c>
    </row>
    <row r="44" spans="1:28" hidden="1"/>
    <row r="46" spans="1:28" ht="18">
      <c r="A46" s="263" t="s">
        <v>0</v>
      </c>
      <c r="B46" s="263"/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</row>
    <row r="47" spans="1:28" ht="18">
      <c r="A47" s="263" t="s">
        <v>71</v>
      </c>
      <c r="B47" s="263"/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</row>
    <row r="48" spans="1:28" ht="18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</row>
    <row r="49" spans="1:30">
      <c r="A49" s="35"/>
      <c r="B49" s="35"/>
      <c r="C49" s="270" t="s">
        <v>60</v>
      </c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71"/>
      <c r="T49" s="271"/>
      <c r="U49" s="271"/>
      <c r="V49" s="271"/>
      <c r="W49" s="271"/>
      <c r="X49" s="271"/>
      <c r="Y49" s="271"/>
      <c r="Z49" s="272"/>
      <c r="AA49" s="27"/>
      <c r="AB49" s="27"/>
    </row>
    <row r="50" spans="1:30" ht="23.25" customHeight="1">
      <c r="A50" s="264" t="s">
        <v>50</v>
      </c>
      <c r="B50" s="266" t="s">
        <v>57</v>
      </c>
      <c r="C50" s="267" t="s">
        <v>2</v>
      </c>
      <c r="D50" s="267"/>
      <c r="E50" s="267" t="s">
        <v>3</v>
      </c>
      <c r="F50" s="267"/>
      <c r="G50" s="267" t="s">
        <v>4</v>
      </c>
      <c r="H50" s="267"/>
      <c r="I50" s="267" t="s">
        <v>5</v>
      </c>
      <c r="J50" s="267"/>
      <c r="K50" s="267" t="s">
        <v>6</v>
      </c>
      <c r="L50" s="267"/>
      <c r="M50" s="267" t="s">
        <v>7</v>
      </c>
      <c r="N50" s="267"/>
      <c r="O50" s="267" t="s">
        <v>8</v>
      </c>
      <c r="P50" s="267"/>
      <c r="Q50" s="267" t="s">
        <v>9</v>
      </c>
      <c r="R50" s="267"/>
      <c r="S50" s="267" t="s">
        <v>10</v>
      </c>
      <c r="T50" s="267"/>
      <c r="U50" s="267" t="s">
        <v>11</v>
      </c>
      <c r="V50" s="267"/>
      <c r="W50" s="267" t="s">
        <v>12</v>
      </c>
      <c r="X50" s="267"/>
      <c r="Y50" s="267" t="s">
        <v>13</v>
      </c>
      <c r="Z50" s="267"/>
      <c r="AA50" s="267" t="s">
        <v>14</v>
      </c>
      <c r="AB50" s="267"/>
    </row>
    <row r="51" spans="1:30">
      <c r="A51" s="265"/>
      <c r="B51" s="266"/>
      <c r="C51" s="3" t="s">
        <v>1</v>
      </c>
      <c r="D51" s="3" t="s">
        <v>15</v>
      </c>
      <c r="E51" s="3" t="s">
        <v>1</v>
      </c>
      <c r="F51" s="3"/>
      <c r="G51" s="3" t="s">
        <v>1</v>
      </c>
      <c r="H51" s="3"/>
      <c r="I51" s="3" t="s">
        <v>1</v>
      </c>
      <c r="J51" s="3" t="s">
        <v>15</v>
      </c>
      <c r="K51" s="3" t="s">
        <v>1</v>
      </c>
      <c r="L51" s="3" t="s">
        <v>15</v>
      </c>
      <c r="M51" s="3" t="s">
        <v>1</v>
      </c>
      <c r="N51" s="3" t="s">
        <v>15</v>
      </c>
      <c r="O51" s="3" t="s">
        <v>1</v>
      </c>
      <c r="P51" s="3" t="s">
        <v>15</v>
      </c>
      <c r="Q51" s="3" t="s">
        <v>1</v>
      </c>
      <c r="R51" s="3" t="s">
        <v>15</v>
      </c>
      <c r="S51" s="3" t="s">
        <v>1</v>
      </c>
      <c r="T51" s="3" t="s">
        <v>15</v>
      </c>
      <c r="U51" s="3" t="s">
        <v>1</v>
      </c>
      <c r="V51" s="3" t="s">
        <v>15</v>
      </c>
      <c r="W51" s="3" t="s">
        <v>1</v>
      </c>
      <c r="X51" s="3" t="s">
        <v>15</v>
      </c>
      <c r="Y51" s="3" t="s">
        <v>1</v>
      </c>
      <c r="Z51" s="3" t="s">
        <v>15</v>
      </c>
      <c r="AA51" s="3" t="s">
        <v>1</v>
      </c>
      <c r="AB51" s="3" t="s">
        <v>15</v>
      </c>
    </row>
    <row r="52" spans="1:30">
      <c r="A52" s="41" t="s">
        <v>28</v>
      </c>
      <c r="B52" s="44">
        <f>SUM(B53:B60)</f>
        <v>133363326.90000001</v>
      </c>
      <c r="C52" s="44">
        <f>SUM(C53:C60)</f>
        <v>26785984.09</v>
      </c>
      <c r="D52" s="42">
        <f>+C52/$B52</f>
        <v>0.20084969918368165</v>
      </c>
      <c r="E52" s="44">
        <f>SUM(E53:E60)</f>
        <v>18833158.460000001</v>
      </c>
      <c r="F52" s="42">
        <f>+E52/$B52</f>
        <v>0.14121692145638878</v>
      </c>
      <c r="G52" s="44">
        <f>SUM(G53:G60)</f>
        <v>19416651.32</v>
      </c>
      <c r="H52" s="42">
        <f>+G52/$B52</f>
        <v>0.14559213369473914</v>
      </c>
      <c r="I52" s="44">
        <f>SUM(I53:I60)</f>
        <v>12540177.33</v>
      </c>
      <c r="J52" s="42">
        <f t="shared" ref="J52:J60" si="13">+I52/$B52</f>
        <v>9.403017772196863E-2</v>
      </c>
      <c r="K52" s="44">
        <f>SUM(K53:K60)</f>
        <v>8979632.7100000009</v>
      </c>
      <c r="L52" s="42">
        <f>+K52/$B52</f>
        <v>6.7332098851532185E-2</v>
      </c>
      <c r="M52" s="44">
        <f>SUM(M53:M60)</f>
        <v>7159835</v>
      </c>
      <c r="N52" s="42">
        <f>+M52/$B52</f>
        <v>5.3686685586125701E-2</v>
      </c>
      <c r="O52" s="44">
        <f>SUM(O53:O60)</f>
        <v>6283731.2300000004</v>
      </c>
      <c r="P52" s="42">
        <f>+O52/$B52</f>
        <v>4.7117385086769312E-2</v>
      </c>
      <c r="Q52" s="44">
        <f>SUM(Q53:Q60)</f>
        <v>6749189.7000000002</v>
      </c>
      <c r="R52" s="42">
        <f>+Q52/$B52</f>
        <v>5.0607538495652207E-2</v>
      </c>
      <c r="S52" s="44">
        <f>SUM(S53:S60)</f>
        <v>6201983.7999999998</v>
      </c>
      <c r="T52" s="42">
        <f>+S52/$B52</f>
        <v>4.6504417249956888E-2</v>
      </c>
      <c r="U52" s="44">
        <f>SUM(U53:U60)</f>
        <v>7238042.6299999999</v>
      </c>
      <c r="V52" s="42">
        <f>+U52/$B52</f>
        <v>5.4273110893726509E-2</v>
      </c>
      <c r="W52" s="44">
        <f>SUM(W53:W60)</f>
        <v>5524575.7000000011</v>
      </c>
      <c r="X52" s="42">
        <f>+W52/$B52</f>
        <v>4.1424999123953324E-2</v>
      </c>
      <c r="Y52" s="44">
        <f>SUM(Y53:Y60)</f>
        <v>7650364.9299999997</v>
      </c>
      <c r="Z52" s="42">
        <f>+Y52/$B52</f>
        <v>5.7364832655505682E-2</v>
      </c>
      <c r="AA52" s="44">
        <f>+C52+E52+G52+I52+K52+M52+O52+Q52+S52+U52+W52+Y52</f>
        <v>133363326.90000001</v>
      </c>
      <c r="AB52" s="42">
        <f>+AA52/$B52</f>
        <v>1</v>
      </c>
    </row>
    <row r="53" spans="1:30">
      <c r="A53" s="11" t="s">
        <v>42</v>
      </c>
      <c r="B53" s="28"/>
      <c r="C53" s="28"/>
      <c r="D53" s="114"/>
      <c r="E53" s="28"/>
      <c r="F53" s="114"/>
      <c r="G53" s="28"/>
      <c r="H53" s="114"/>
      <c r="I53" s="28"/>
      <c r="J53" s="114"/>
      <c r="K53" s="28"/>
      <c r="L53" s="114"/>
      <c r="M53" s="28"/>
      <c r="N53" s="114"/>
      <c r="O53" s="28"/>
      <c r="P53" s="114"/>
      <c r="Q53" s="28"/>
      <c r="R53" s="114"/>
      <c r="S53" s="28"/>
      <c r="T53" s="114"/>
      <c r="U53" s="28"/>
      <c r="V53" s="114"/>
      <c r="W53" s="28"/>
      <c r="X53" s="114"/>
      <c r="Y53" s="28"/>
      <c r="Z53" s="114"/>
      <c r="AA53" s="30"/>
      <c r="AB53" s="114"/>
      <c r="AC53" s="37"/>
      <c r="AD53" s="32"/>
    </row>
    <row r="54" spans="1:30">
      <c r="A54" s="11" t="s">
        <v>31</v>
      </c>
      <c r="B54" s="28">
        <v>88116875.900000006</v>
      </c>
      <c r="C54" s="30">
        <v>22851145.739999998</v>
      </c>
      <c r="D54" s="114">
        <f t="shared" ref="D54:D60" si="14">+C54/$B54</f>
        <v>0.25932768844338927</v>
      </c>
      <c r="E54" s="30">
        <v>15405382.779999999</v>
      </c>
      <c r="F54" s="114">
        <f t="shared" ref="F54:F60" si="15">+E54/$B54</f>
        <v>0.17482897143882967</v>
      </c>
      <c r="G54" s="30">
        <v>15074002.560000001</v>
      </c>
      <c r="H54" s="114">
        <f t="shared" ref="H54:H60" si="16">+G54/$B54</f>
        <v>0.17106828182500283</v>
      </c>
      <c r="I54" s="30">
        <v>9270035.4000000004</v>
      </c>
      <c r="J54" s="114">
        <f t="shared" si="13"/>
        <v>0.1052015894267536</v>
      </c>
      <c r="K54" s="30">
        <v>5303187.5</v>
      </c>
      <c r="L54" s="114">
        <f t="shared" ref="L54:L60" si="17">+K54/$B54</f>
        <v>6.0183562408843864E-2</v>
      </c>
      <c r="M54" s="30">
        <v>3727978.24</v>
      </c>
      <c r="N54" s="114">
        <f t="shared" ref="N54:N60" si="18">+M54/$B54</f>
        <v>4.2307199409006735E-2</v>
      </c>
      <c r="O54" s="30">
        <v>2692027.61</v>
      </c>
      <c r="P54" s="114">
        <f t="shared" ref="P54:P60" si="19">+O54/$B54</f>
        <v>3.0550647449814998E-2</v>
      </c>
      <c r="Q54" s="30">
        <v>2605979.27</v>
      </c>
      <c r="R54" s="114">
        <f>+Q54/$B54</f>
        <v>2.9574122361730255E-2</v>
      </c>
      <c r="S54" s="30">
        <v>2564438.04</v>
      </c>
      <c r="T54" s="114">
        <f>+S54/$B54</f>
        <v>2.9102689057091274E-2</v>
      </c>
      <c r="U54" s="30">
        <v>3084066.06</v>
      </c>
      <c r="V54" s="114">
        <f>+U54/$B54</f>
        <v>3.4999720865047143E-2</v>
      </c>
      <c r="W54" s="30">
        <v>2162390.08</v>
      </c>
      <c r="X54" s="114">
        <f>+W54/$B54</f>
        <v>2.4540022077655162E-2</v>
      </c>
      <c r="Y54" s="30">
        <v>3376242.62</v>
      </c>
      <c r="Z54" s="114">
        <f>+Y54/$B54</f>
        <v>3.8315505236835114E-2</v>
      </c>
      <c r="AA54" s="30">
        <f>+C54+E54+G54+I54+K54+M54+O54+Q54+S54+U54+W54+Y54</f>
        <v>88116875.899999991</v>
      </c>
      <c r="AB54" s="114">
        <f>+AA54/$B54</f>
        <v>0.99999999999999978</v>
      </c>
      <c r="AC54" s="37"/>
      <c r="AD54" s="26"/>
    </row>
    <row r="55" spans="1:30">
      <c r="A55" s="11" t="s">
        <v>32</v>
      </c>
      <c r="B55" s="28">
        <v>3723072.59</v>
      </c>
      <c r="C55" s="30">
        <v>177270.53</v>
      </c>
      <c r="D55" s="114">
        <f t="shared" si="14"/>
        <v>4.7614040745845354E-2</v>
      </c>
      <c r="E55" s="30">
        <v>266504.25</v>
      </c>
      <c r="F55" s="114">
        <f t="shared" si="15"/>
        <v>7.1581803351301293E-2</v>
      </c>
      <c r="G55" s="30">
        <v>391492.36</v>
      </c>
      <c r="H55" s="114">
        <f t="shared" si="16"/>
        <v>0.10515302899318436</v>
      </c>
      <c r="I55" s="30">
        <v>369765.48</v>
      </c>
      <c r="J55" s="114">
        <f t="shared" si="13"/>
        <v>9.9317289969895542E-2</v>
      </c>
      <c r="K55" s="30">
        <v>425997.32</v>
      </c>
      <c r="L55" s="114">
        <f t="shared" si="17"/>
        <v>0.11442090093655682</v>
      </c>
      <c r="M55" s="30">
        <v>390593.9</v>
      </c>
      <c r="N55" s="114">
        <f t="shared" si="18"/>
        <v>0.10491170681149681</v>
      </c>
      <c r="O55" s="30">
        <v>362399.92</v>
      </c>
      <c r="P55" s="114">
        <f t="shared" si="19"/>
        <v>9.7338934774838751E-2</v>
      </c>
      <c r="Q55" s="30">
        <v>356320.9</v>
      </c>
      <c r="R55" s="114">
        <f>+Q55/$B55</f>
        <v>9.5706138246420824E-2</v>
      </c>
      <c r="S55" s="30">
        <v>279801.01</v>
      </c>
      <c r="T55" s="114">
        <f>+S55/$B55</f>
        <v>7.5153251309558813E-2</v>
      </c>
      <c r="U55" s="30">
        <v>274128.55</v>
      </c>
      <c r="V55" s="114">
        <f>+U55/$B55</f>
        <v>7.3629654908232658E-2</v>
      </c>
      <c r="W55" s="30">
        <v>224729.18</v>
      </c>
      <c r="X55" s="114">
        <f>+W55/$B55</f>
        <v>6.0361213639404221E-2</v>
      </c>
      <c r="Y55" s="30">
        <v>204069.19</v>
      </c>
      <c r="Z55" s="114">
        <f>+Y55/$B55</f>
        <v>5.4812036313264582E-2</v>
      </c>
      <c r="AA55" s="30">
        <f>+C55+E55+G55+I55+K55+M55+O55+Q55+S55+U55+W55+Y55</f>
        <v>3723072.59</v>
      </c>
      <c r="AB55" s="114">
        <f>+AA55/$B55</f>
        <v>1</v>
      </c>
      <c r="AC55" s="37"/>
      <c r="AD55" s="26"/>
    </row>
    <row r="56" spans="1:30">
      <c r="A56" s="11" t="s">
        <v>43</v>
      </c>
      <c r="B56" s="28"/>
      <c r="C56" s="30"/>
      <c r="D56" s="114"/>
      <c r="E56" s="30"/>
      <c r="F56" s="114"/>
      <c r="G56" s="30"/>
      <c r="H56" s="114"/>
      <c r="I56" s="30"/>
      <c r="J56" s="114"/>
      <c r="K56" s="30"/>
      <c r="L56" s="114"/>
      <c r="M56" s="30"/>
      <c r="N56" s="114"/>
      <c r="O56" s="30"/>
      <c r="P56" s="114"/>
      <c r="Q56" s="30"/>
      <c r="R56" s="114"/>
      <c r="S56" s="30"/>
      <c r="T56" s="114"/>
      <c r="U56" s="30"/>
      <c r="V56" s="114"/>
      <c r="W56" s="30"/>
      <c r="X56" s="114"/>
      <c r="Y56" s="30"/>
      <c r="Z56" s="114"/>
      <c r="AA56" s="30"/>
      <c r="AB56" s="114"/>
      <c r="AC56" s="37"/>
      <c r="AD56" s="32"/>
    </row>
    <row r="57" spans="1:30">
      <c r="A57" s="11" t="s">
        <v>44</v>
      </c>
      <c r="B57" s="28"/>
      <c r="C57" s="30"/>
      <c r="D57" s="114"/>
      <c r="E57" s="30"/>
      <c r="F57" s="114"/>
      <c r="G57" s="30"/>
      <c r="H57" s="114"/>
      <c r="I57" s="30"/>
      <c r="J57" s="114"/>
      <c r="K57" s="30"/>
      <c r="L57" s="114"/>
      <c r="M57" s="30"/>
      <c r="N57" s="114"/>
      <c r="O57" s="30"/>
      <c r="P57" s="114"/>
      <c r="Q57" s="30"/>
      <c r="R57" s="114"/>
      <c r="S57" s="30"/>
      <c r="T57" s="114"/>
      <c r="U57" s="30"/>
      <c r="V57" s="114"/>
      <c r="W57" s="30"/>
      <c r="X57" s="114"/>
      <c r="Y57" s="30"/>
      <c r="Z57" s="114"/>
      <c r="AA57" s="30"/>
      <c r="AB57" s="114"/>
      <c r="AC57" s="37"/>
      <c r="AD57" s="32"/>
    </row>
    <row r="58" spans="1:30">
      <c r="A58" s="11" t="s">
        <v>45</v>
      </c>
      <c r="B58" s="28">
        <v>18081323.23</v>
      </c>
      <c r="C58" s="30">
        <v>1932306.62</v>
      </c>
      <c r="D58" s="114">
        <f t="shared" si="14"/>
        <v>0.10686754478200874</v>
      </c>
      <c r="E58" s="30">
        <v>1642067.01</v>
      </c>
      <c r="F58" s="114">
        <f t="shared" si="15"/>
        <v>9.0815643806175128E-2</v>
      </c>
      <c r="G58" s="30">
        <v>2049380.55</v>
      </c>
      <c r="H58" s="114">
        <f t="shared" si="16"/>
        <v>0.11334239889034936</v>
      </c>
      <c r="I58" s="30">
        <v>1384502.78</v>
      </c>
      <c r="J58" s="114">
        <f t="shared" si="13"/>
        <v>7.6570877163617851E-2</v>
      </c>
      <c r="K58" s="30">
        <v>1486268.26</v>
      </c>
      <c r="L58" s="114">
        <f t="shared" si="17"/>
        <v>8.2199086930431473E-2</v>
      </c>
      <c r="M58" s="30">
        <v>1373780.23</v>
      </c>
      <c r="N58" s="114">
        <f t="shared" si="18"/>
        <v>7.5977859171316858E-2</v>
      </c>
      <c r="O58" s="30">
        <v>1491613.21</v>
      </c>
      <c r="P58" s="114">
        <f t="shared" si="19"/>
        <v>8.249469306124449E-2</v>
      </c>
      <c r="Q58" s="30">
        <v>1772802.82</v>
      </c>
      <c r="R58" s="114">
        <f>+Q58/$B58</f>
        <v>9.8046077571281823E-2</v>
      </c>
      <c r="S58" s="30">
        <v>1370307.42</v>
      </c>
      <c r="T58" s="114">
        <f>+S58/$B58</f>
        <v>7.5785793029042592E-2</v>
      </c>
      <c r="U58" s="30">
        <v>1268349.31</v>
      </c>
      <c r="V58" s="114">
        <f>+U58/$B58</f>
        <v>7.014692972777524E-2</v>
      </c>
      <c r="W58" s="30">
        <v>1087494.0900000001</v>
      </c>
      <c r="X58" s="114">
        <f>+W58/$B58</f>
        <v>6.0144607569188401E-2</v>
      </c>
      <c r="Y58" s="30">
        <v>1222450.93</v>
      </c>
      <c r="Z58" s="114">
        <f>+Y58/$B58</f>
        <v>6.760848829756802E-2</v>
      </c>
      <c r="AA58" s="30">
        <f>+C58+E58+G58+I58+K58+M58+O58+Q58+S58+U58+W58+Y58</f>
        <v>18081323.23</v>
      </c>
      <c r="AB58" s="114">
        <f>+AA58/$B58</f>
        <v>1</v>
      </c>
      <c r="AC58" s="37"/>
      <c r="AD58" s="32"/>
    </row>
    <row r="59" spans="1:30">
      <c r="A59" s="11" t="s">
        <v>46</v>
      </c>
      <c r="B59" s="28"/>
      <c r="C59" s="30"/>
      <c r="D59" s="114"/>
      <c r="E59" s="30"/>
      <c r="F59" s="114"/>
      <c r="G59" s="30"/>
      <c r="H59" s="114"/>
      <c r="I59" s="30"/>
      <c r="J59" s="114"/>
      <c r="K59" s="30"/>
      <c r="L59" s="114"/>
      <c r="M59" s="30"/>
      <c r="N59" s="114"/>
      <c r="O59" s="30"/>
      <c r="P59" s="114"/>
      <c r="Q59" s="30"/>
      <c r="R59" s="114"/>
      <c r="S59" s="30"/>
      <c r="T59" s="114"/>
      <c r="U59" s="30"/>
      <c r="V59" s="114"/>
      <c r="W59" s="30"/>
      <c r="X59" s="114"/>
      <c r="Y59" s="30"/>
      <c r="Z59" s="114"/>
      <c r="AA59" s="30"/>
      <c r="AB59" s="114"/>
      <c r="AC59" s="37"/>
      <c r="AD59" s="32"/>
    </row>
    <row r="60" spans="1:30">
      <c r="A60" s="11" t="s">
        <v>35</v>
      </c>
      <c r="B60" s="28">
        <v>23442055.18</v>
      </c>
      <c r="C60" s="30">
        <v>1825261.2</v>
      </c>
      <c r="D60" s="114">
        <f t="shared" si="14"/>
        <v>7.7862678250038994E-2</v>
      </c>
      <c r="E60" s="30">
        <v>1519204.42</v>
      </c>
      <c r="F60" s="114">
        <f t="shared" si="15"/>
        <v>6.4806793104733237E-2</v>
      </c>
      <c r="G60" s="30">
        <v>1901775.85</v>
      </c>
      <c r="H60" s="114">
        <f t="shared" si="16"/>
        <v>8.1126668945926447E-2</v>
      </c>
      <c r="I60" s="30">
        <v>1515873.67</v>
      </c>
      <c r="J60" s="114">
        <f t="shared" si="13"/>
        <v>6.4664708719451111E-2</v>
      </c>
      <c r="K60" s="30">
        <v>1764179.63</v>
      </c>
      <c r="L60" s="114">
        <f t="shared" si="17"/>
        <v>7.5257037680942787E-2</v>
      </c>
      <c r="M60" s="30">
        <v>1667482.63</v>
      </c>
      <c r="N60" s="114">
        <f t="shared" si="18"/>
        <v>7.1132100713705418E-2</v>
      </c>
      <c r="O60" s="30">
        <v>1737690.49</v>
      </c>
      <c r="P60" s="114">
        <f t="shared" si="19"/>
        <v>7.4127053991517824E-2</v>
      </c>
      <c r="Q60" s="30">
        <v>2014086.71</v>
      </c>
      <c r="R60" s="114">
        <f>+Q60/$B60</f>
        <v>8.5917667821136828E-2</v>
      </c>
      <c r="S60" s="30">
        <v>1987437.33</v>
      </c>
      <c r="T60" s="114">
        <f>+S60/$B60</f>
        <v>8.4780848553569529E-2</v>
      </c>
      <c r="U60" s="30">
        <v>2611498.71</v>
      </c>
      <c r="V60" s="114">
        <f>+U60/$B60</f>
        <v>0.11140229344004129</v>
      </c>
      <c r="W60" s="30">
        <v>2049962.35</v>
      </c>
      <c r="X60" s="114">
        <f>+W60/$B60</f>
        <v>8.744806435525164E-2</v>
      </c>
      <c r="Y60" s="30">
        <v>2847602.19</v>
      </c>
      <c r="Z60" s="114">
        <f>+Y60/$B60</f>
        <v>0.1214740844236849</v>
      </c>
      <c r="AA60" s="30">
        <f>+C60+E60+G60+I60+K60+M60+O60+Q60+S60+U60+W60+Y60</f>
        <v>23442055.18</v>
      </c>
      <c r="AB60" s="114">
        <f>+AA60/$B60</f>
        <v>1</v>
      </c>
      <c r="AC60" s="37"/>
      <c r="AD60" s="32"/>
    </row>
    <row r="61" spans="1:30">
      <c r="A61" s="41" t="s">
        <v>56</v>
      </c>
      <c r="B61" s="44">
        <f>SUM(B62:B66)</f>
        <v>0</v>
      </c>
      <c r="C61" s="44">
        <f>SUM(C62:C66)</f>
        <v>0</v>
      </c>
      <c r="D61" s="45"/>
      <c r="E61" s="44"/>
      <c r="F61" s="42"/>
      <c r="G61" s="44"/>
      <c r="H61" s="42"/>
      <c r="I61" s="44"/>
      <c r="J61" s="42"/>
      <c r="K61" s="44"/>
      <c r="L61" s="42"/>
      <c r="M61" s="44"/>
      <c r="N61" s="42"/>
      <c r="O61" s="44"/>
      <c r="P61" s="42"/>
      <c r="Q61" s="44"/>
      <c r="R61" s="42"/>
      <c r="S61" s="44"/>
      <c r="T61" s="42"/>
      <c r="U61" s="44"/>
      <c r="V61" s="42"/>
      <c r="W61" s="44"/>
      <c r="X61" s="42"/>
      <c r="Y61" s="44"/>
      <c r="Z61" s="42"/>
      <c r="AA61" s="44"/>
      <c r="AB61" s="42"/>
      <c r="AC61" s="37"/>
    </row>
    <row r="62" spans="1:30">
      <c r="A62" s="11" t="s">
        <v>47</v>
      </c>
      <c r="B62" s="28"/>
      <c r="C62" s="28"/>
      <c r="D62" s="115"/>
      <c r="E62" s="28"/>
      <c r="F62" s="114"/>
      <c r="G62" s="28"/>
      <c r="H62" s="114"/>
      <c r="I62" s="28"/>
      <c r="J62" s="114"/>
      <c r="K62" s="28"/>
      <c r="L62" s="114"/>
      <c r="M62" s="28"/>
      <c r="N62" s="114"/>
      <c r="O62" s="28"/>
      <c r="P62" s="114"/>
      <c r="Q62" s="28"/>
      <c r="R62" s="114"/>
      <c r="S62" s="28"/>
      <c r="T62" s="114"/>
      <c r="U62" s="28"/>
      <c r="V62" s="114"/>
      <c r="W62" s="28"/>
      <c r="X62" s="114"/>
      <c r="Y62" s="28"/>
      <c r="Z62" s="114"/>
      <c r="AA62" s="30"/>
      <c r="AB62" s="114"/>
      <c r="AC62" s="37"/>
      <c r="AD62" s="32"/>
    </row>
    <row r="63" spans="1:30">
      <c r="A63" s="11" t="s">
        <v>48</v>
      </c>
      <c r="B63" s="28"/>
      <c r="C63" s="28"/>
      <c r="D63" s="115"/>
      <c r="E63" s="28"/>
      <c r="F63" s="114"/>
      <c r="G63" s="28"/>
      <c r="H63" s="114"/>
      <c r="I63" s="28"/>
      <c r="J63" s="114"/>
      <c r="K63" s="28"/>
      <c r="L63" s="114"/>
      <c r="M63" s="28"/>
      <c r="N63" s="114"/>
      <c r="O63" s="28"/>
      <c r="P63" s="114"/>
      <c r="Q63" s="28"/>
      <c r="R63" s="114"/>
      <c r="S63" s="28"/>
      <c r="T63" s="114"/>
      <c r="U63" s="28"/>
      <c r="V63" s="114"/>
      <c r="W63" s="28"/>
      <c r="X63" s="114"/>
      <c r="Y63" s="28"/>
      <c r="Z63" s="114"/>
      <c r="AA63" s="30"/>
      <c r="AB63" s="114"/>
      <c r="AC63" s="37"/>
      <c r="AD63" s="32"/>
    </row>
    <row r="64" spans="1:30">
      <c r="A64" s="11" t="s">
        <v>33</v>
      </c>
      <c r="B64" s="28">
        <v>0</v>
      </c>
      <c r="C64" s="28"/>
      <c r="D64" s="34">
        <v>0</v>
      </c>
      <c r="E64" s="28"/>
      <c r="F64" s="29"/>
      <c r="G64" s="28"/>
      <c r="H64" s="29"/>
      <c r="I64" s="28"/>
      <c r="J64" s="29"/>
      <c r="K64" s="28"/>
      <c r="L64" s="29"/>
      <c r="M64" s="28"/>
      <c r="N64" s="29"/>
      <c r="O64" s="28"/>
      <c r="P64" s="29"/>
      <c r="Q64" s="28"/>
      <c r="R64" s="29"/>
      <c r="S64" s="28"/>
      <c r="T64" s="29"/>
      <c r="U64" s="28">
        <v>0</v>
      </c>
      <c r="V64" s="29"/>
      <c r="W64" s="28">
        <v>0</v>
      </c>
      <c r="X64" s="29"/>
      <c r="Y64" s="28">
        <v>0</v>
      </c>
      <c r="Z64" s="29"/>
      <c r="AA64" s="30">
        <f>+C64+E64+G64+I64+K64+M64+O64+Q64+S64+U64+W64+Y64</f>
        <v>0</v>
      </c>
      <c r="AB64" s="29"/>
      <c r="AC64" s="37"/>
      <c r="AD64" s="32"/>
    </row>
    <row r="65" spans="1:28">
      <c r="A65" s="11" t="s">
        <v>49</v>
      </c>
      <c r="B65" s="28">
        <v>0</v>
      </c>
      <c r="C65" s="28">
        <v>0</v>
      </c>
      <c r="D65" s="34"/>
      <c r="E65" s="28">
        <v>0</v>
      </c>
      <c r="F65" s="29"/>
      <c r="G65" s="28">
        <v>0</v>
      </c>
      <c r="H65" s="29"/>
      <c r="I65" s="28">
        <v>0</v>
      </c>
      <c r="J65" s="29"/>
      <c r="K65" s="28">
        <v>0</v>
      </c>
      <c r="L65" s="29"/>
      <c r="M65" s="28">
        <v>0</v>
      </c>
      <c r="N65" s="29"/>
      <c r="O65" s="28">
        <v>0</v>
      </c>
      <c r="P65" s="29"/>
      <c r="Q65" s="28">
        <v>0</v>
      </c>
      <c r="R65" s="29"/>
      <c r="S65" s="28">
        <v>0</v>
      </c>
      <c r="T65" s="29"/>
      <c r="U65" s="28">
        <v>0</v>
      </c>
      <c r="V65" s="29"/>
      <c r="W65" s="28">
        <v>0</v>
      </c>
      <c r="X65" s="29"/>
      <c r="Y65" s="28">
        <v>0</v>
      </c>
      <c r="Z65" s="29"/>
      <c r="AA65" s="30">
        <f>+C65+E65+G65+I65+K65+M65+O65+Q65+S65+U65+W65+Y65</f>
        <v>0</v>
      </c>
      <c r="AB65" s="29"/>
    </row>
    <row r="66" spans="1:28">
      <c r="A66" s="11" t="s">
        <v>34</v>
      </c>
      <c r="B66" s="28">
        <v>0</v>
      </c>
      <c r="C66" s="28">
        <v>0</v>
      </c>
      <c r="D66" s="34"/>
      <c r="E66" s="28">
        <v>0</v>
      </c>
      <c r="F66" s="29"/>
      <c r="G66" s="28">
        <v>0</v>
      </c>
      <c r="H66" s="29"/>
      <c r="I66" s="28">
        <v>0</v>
      </c>
      <c r="J66" s="29"/>
      <c r="K66" s="28">
        <v>0</v>
      </c>
      <c r="L66" s="29"/>
      <c r="M66" s="28">
        <v>0</v>
      </c>
      <c r="N66" s="29"/>
      <c r="O66" s="28">
        <v>0</v>
      </c>
      <c r="P66" s="29"/>
      <c r="Q66" s="28">
        <v>0</v>
      </c>
      <c r="R66" s="29"/>
      <c r="S66" s="28">
        <v>0</v>
      </c>
      <c r="T66" s="29"/>
      <c r="U66" s="28">
        <v>0</v>
      </c>
      <c r="V66" s="29"/>
      <c r="W66" s="28">
        <v>0</v>
      </c>
      <c r="X66" s="29"/>
      <c r="Y66" s="28">
        <v>0</v>
      </c>
      <c r="Z66" s="29"/>
      <c r="AA66" s="30">
        <f>+C66+E66+G66+I66+K66+M66+O66+Q66+S66+U66+W66+Y66</f>
        <v>0</v>
      </c>
      <c r="AB66" s="29"/>
    </row>
    <row r="67" spans="1:28">
      <c r="A67" s="39" t="s">
        <v>16</v>
      </c>
      <c r="B67" s="46">
        <f t="shared" ref="B67:Z67" si="20">+B52+B61</f>
        <v>133363326.90000001</v>
      </c>
      <c r="C67" s="46">
        <f t="shared" si="20"/>
        <v>26785984.09</v>
      </c>
      <c r="D67" s="40">
        <f t="shared" si="20"/>
        <v>0.20084969918368165</v>
      </c>
      <c r="E67" s="46">
        <f t="shared" si="20"/>
        <v>18833158.460000001</v>
      </c>
      <c r="F67" s="40">
        <f t="shared" si="20"/>
        <v>0.14121692145638878</v>
      </c>
      <c r="G67" s="46">
        <f t="shared" si="20"/>
        <v>19416651.32</v>
      </c>
      <c r="H67" s="40">
        <f t="shared" si="20"/>
        <v>0.14559213369473914</v>
      </c>
      <c r="I67" s="46">
        <f t="shared" si="20"/>
        <v>12540177.33</v>
      </c>
      <c r="J67" s="40">
        <f t="shared" si="20"/>
        <v>9.403017772196863E-2</v>
      </c>
      <c r="K67" s="46">
        <f t="shared" si="20"/>
        <v>8979632.7100000009</v>
      </c>
      <c r="L67" s="40">
        <f t="shared" si="20"/>
        <v>6.7332098851532185E-2</v>
      </c>
      <c r="M67" s="46">
        <f t="shared" si="20"/>
        <v>7159835</v>
      </c>
      <c r="N67" s="40">
        <f t="shared" si="20"/>
        <v>5.3686685586125701E-2</v>
      </c>
      <c r="O67" s="46">
        <f t="shared" si="20"/>
        <v>6283731.2300000004</v>
      </c>
      <c r="P67" s="40">
        <f t="shared" si="20"/>
        <v>4.7117385086769312E-2</v>
      </c>
      <c r="Q67" s="46">
        <f t="shared" si="20"/>
        <v>6749189.7000000002</v>
      </c>
      <c r="R67" s="40">
        <f t="shared" si="20"/>
        <v>5.0607538495652207E-2</v>
      </c>
      <c r="S67" s="46">
        <f t="shared" si="20"/>
        <v>6201983.7999999998</v>
      </c>
      <c r="T67" s="40">
        <f t="shared" si="20"/>
        <v>4.6504417249956888E-2</v>
      </c>
      <c r="U67" s="46">
        <f t="shared" si="20"/>
        <v>7238042.6299999999</v>
      </c>
      <c r="V67" s="40">
        <f t="shared" si="20"/>
        <v>5.4273110893726509E-2</v>
      </c>
      <c r="W67" s="46">
        <f t="shared" si="20"/>
        <v>5524575.7000000011</v>
      </c>
      <c r="X67" s="40">
        <f t="shared" si="20"/>
        <v>4.1424999123953324E-2</v>
      </c>
      <c r="Y67" s="46">
        <f t="shared" si="20"/>
        <v>7650364.9299999997</v>
      </c>
      <c r="Z67" s="40">
        <f t="shared" si="20"/>
        <v>5.7364832655505682E-2</v>
      </c>
      <c r="AA67" s="46">
        <f>+C67+E67+G67+I67+K67+M67+O67+Q67+S67+U67+W67+Y67</f>
        <v>133363326.90000001</v>
      </c>
      <c r="AB67" s="40">
        <f>+AA67/B67</f>
        <v>1</v>
      </c>
    </row>
    <row r="68" spans="1:28" hidden="1">
      <c r="B68" s="36"/>
    </row>
    <row r="69" spans="1:28" hidden="1">
      <c r="B69" s="36"/>
      <c r="C69" s="26"/>
    </row>
    <row r="70" spans="1:28" hidden="1">
      <c r="B70" s="36"/>
      <c r="C70" s="26"/>
    </row>
    <row r="71" spans="1:28" ht="18" hidden="1">
      <c r="A71" s="263" t="s">
        <v>0</v>
      </c>
      <c r="B71" s="263"/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63"/>
      <c r="Z71" s="263"/>
      <c r="AA71" s="263"/>
      <c r="AB71" s="263"/>
    </row>
    <row r="72" spans="1:28" ht="18" hidden="1">
      <c r="A72" s="263" t="s">
        <v>77</v>
      </c>
      <c r="B72" s="263"/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3"/>
      <c r="AA72" s="263"/>
      <c r="AB72" s="263"/>
    </row>
    <row r="73" spans="1:28" ht="18" hidden="1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</row>
    <row r="74" spans="1:28" hidden="1">
      <c r="A74" s="35"/>
      <c r="B74" s="35"/>
      <c r="C74" s="270" t="s">
        <v>60</v>
      </c>
      <c r="D74" s="271"/>
      <c r="E74" s="271"/>
      <c r="F74" s="271"/>
      <c r="G74" s="271"/>
      <c r="H74" s="271"/>
      <c r="I74" s="271"/>
      <c r="J74" s="271"/>
      <c r="K74" s="271"/>
      <c r="L74" s="271"/>
      <c r="M74" s="271"/>
      <c r="N74" s="271"/>
      <c r="O74" s="271"/>
      <c r="P74" s="271"/>
      <c r="Q74" s="271"/>
      <c r="R74" s="271"/>
      <c r="S74" s="271"/>
      <c r="T74" s="271"/>
      <c r="U74" s="271"/>
      <c r="V74" s="271"/>
      <c r="W74" s="271"/>
      <c r="X74" s="271"/>
      <c r="Y74" s="271"/>
      <c r="Z74" s="272"/>
      <c r="AA74" s="27"/>
      <c r="AB74" s="27"/>
    </row>
    <row r="75" spans="1:28" hidden="1">
      <c r="A75" s="264" t="s">
        <v>50</v>
      </c>
      <c r="B75" s="266" t="s">
        <v>57</v>
      </c>
      <c r="C75" s="267" t="s">
        <v>2</v>
      </c>
      <c r="D75" s="267"/>
      <c r="E75" s="267" t="s">
        <v>3</v>
      </c>
      <c r="F75" s="267"/>
      <c r="G75" s="267" t="s">
        <v>4</v>
      </c>
      <c r="H75" s="267"/>
      <c r="I75" s="267" t="s">
        <v>5</v>
      </c>
      <c r="J75" s="267"/>
      <c r="K75" s="267" t="s">
        <v>6</v>
      </c>
      <c r="L75" s="267"/>
      <c r="M75" s="267" t="s">
        <v>7</v>
      </c>
      <c r="N75" s="267"/>
      <c r="O75" s="267" t="s">
        <v>8</v>
      </c>
      <c r="P75" s="267"/>
      <c r="Q75" s="267" t="s">
        <v>9</v>
      </c>
      <c r="R75" s="267"/>
      <c r="S75" s="267" t="s">
        <v>10</v>
      </c>
      <c r="T75" s="267"/>
      <c r="U75" s="267" t="s">
        <v>11</v>
      </c>
      <c r="V75" s="267"/>
      <c r="W75" s="267" t="s">
        <v>12</v>
      </c>
      <c r="X75" s="267"/>
      <c r="Y75" s="267" t="s">
        <v>13</v>
      </c>
      <c r="Z75" s="267"/>
      <c r="AA75" s="267" t="s">
        <v>14</v>
      </c>
      <c r="AB75" s="267"/>
    </row>
    <row r="76" spans="1:28" hidden="1">
      <c r="A76" s="265"/>
      <c r="B76" s="266"/>
      <c r="C76" s="3" t="s">
        <v>1</v>
      </c>
      <c r="D76" s="3" t="s">
        <v>15</v>
      </c>
      <c r="E76" s="3" t="s">
        <v>1</v>
      </c>
      <c r="F76" s="3"/>
      <c r="G76" s="3" t="s">
        <v>1</v>
      </c>
      <c r="H76" s="3"/>
      <c r="I76" s="3" t="s">
        <v>1</v>
      </c>
      <c r="J76" s="3" t="s">
        <v>15</v>
      </c>
      <c r="K76" s="3" t="s">
        <v>1</v>
      </c>
      <c r="L76" s="3" t="s">
        <v>15</v>
      </c>
      <c r="M76" s="3" t="s">
        <v>1</v>
      </c>
      <c r="N76" s="3" t="s">
        <v>15</v>
      </c>
      <c r="O76" s="3" t="s">
        <v>1</v>
      </c>
      <c r="P76" s="3" t="s">
        <v>15</v>
      </c>
      <c r="Q76" s="3" t="s">
        <v>1</v>
      </c>
      <c r="R76" s="3" t="s">
        <v>15</v>
      </c>
      <c r="S76" s="3" t="s">
        <v>1</v>
      </c>
      <c r="T76" s="3" t="s">
        <v>15</v>
      </c>
      <c r="U76" s="3" t="s">
        <v>1</v>
      </c>
      <c r="V76" s="3" t="s">
        <v>15</v>
      </c>
      <c r="W76" s="3" t="s">
        <v>1</v>
      </c>
      <c r="X76" s="3" t="s">
        <v>15</v>
      </c>
      <c r="Y76" s="3" t="s">
        <v>1</v>
      </c>
      <c r="Z76" s="3" t="s">
        <v>15</v>
      </c>
      <c r="AA76" s="3" t="s">
        <v>1</v>
      </c>
      <c r="AB76" s="3" t="s">
        <v>15</v>
      </c>
    </row>
    <row r="77" spans="1:28" hidden="1">
      <c r="A77" s="41" t="s">
        <v>28</v>
      </c>
      <c r="B77" s="44">
        <f>SUM(B78:B85)</f>
        <v>140146514.41999999</v>
      </c>
      <c r="C77" s="44">
        <f>SUM(C78:C85)</f>
        <v>32773907.480000004</v>
      </c>
      <c r="D77" s="42">
        <f>+C77/$B77</f>
        <v>0.23385460291777985</v>
      </c>
      <c r="E77" s="44">
        <f>SUM(E78:E85)</f>
        <v>18986050.270000003</v>
      </c>
      <c r="F77" s="42">
        <f>+E77/$B77</f>
        <v>0.13547286815212115</v>
      </c>
      <c r="G77" s="44">
        <f>SUM(G78:G85)</f>
        <v>16351609.91</v>
      </c>
      <c r="H77" s="42">
        <f>+G77/$B77</f>
        <v>0.1166751094572103</v>
      </c>
      <c r="I77" s="44">
        <f>SUM(I78:I85)</f>
        <v>13319158.170000002</v>
      </c>
      <c r="J77" s="42">
        <f>+I77/$B77</f>
        <v>9.5037384448137627E-2</v>
      </c>
      <c r="K77" s="44">
        <f>SUM(K78:K85)</f>
        <v>8524577.6199999992</v>
      </c>
      <c r="L77" s="42">
        <f>+K77/$B77</f>
        <v>6.0826183621327912E-2</v>
      </c>
      <c r="M77" s="44">
        <f>SUM(M78:M85)</f>
        <v>6728418.9500000002</v>
      </c>
      <c r="N77" s="42">
        <f>+M77/$B77</f>
        <v>4.8009891489957761E-2</v>
      </c>
      <c r="O77" s="44">
        <f>SUM(O78:O85)</f>
        <v>6972826.0199999996</v>
      </c>
      <c r="P77" s="42">
        <f>+O77/$B77</f>
        <v>4.9753831187719672E-2</v>
      </c>
      <c r="Q77" s="44">
        <f>SUM(Q78:Q85)</f>
        <v>7355367.9500000002</v>
      </c>
      <c r="R77" s="42">
        <f>+Q77/$B77</f>
        <v>5.2483416947188326E-2</v>
      </c>
      <c r="S77" s="44">
        <f>SUM(S78:S85)</f>
        <v>6249694.7400000002</v>
      </c>
      <c r="T77" s="42">
        <f>+S77/$B77</f>
        <v>4.4594007677354837E-2</v>
      </c>
      <c r="U77" s="44">
        <f>SUM(U78:U85)</f>
        <v>6793705.71</v>
      </c>
      <c r="V77" s="42">
        <f>+U77/$B77</f>
        <v>4.8475737966912187E-2</v>
      </c>
      <c r="W77" s="44">
        <f>SUM(W78:W85)</f>
        <v>5666772.8700000001</v>
      </c>
      <c r="X77" s="42">
        <f>+W77/$B77</f>
        <v>4.0434632951465738E-2</v>
      </c>
      <c r="Y77" s="44">
        <f>SUM(Y78:Y85)</f>
        <v>10424424.73</v>
      </c>
      <c r="Z77" s="42">
        <f>+Y77/$B77</f>
        <v>7.4382333182824806E-2</v>
      </c>
      <c r="AA77" s="44">
        <f>+C77+E77+G77+I77+K77+M77+O77+Q77+S77+U77+W77+Y77</f>
        <v>140146514.42000002</v>
      </c>
      <c r="AB77" s="42">
        <f>+AA77/$B77</f>
        <v>1.0000000000000002</v>
      </c>
    </row>
    <row r="78" spans="1:28" hidden="1">
      <c r="A78" s="11" t="s">
        <v>42</v>
      </c>
      <c r="B78" s="28"/>
      <c r="C78" s="28"/>
      <c r="D78" s="38"/>
      <c r="E78" s="28"/>
      <c r="F78" s="38"/>
      <c r="G78" s="28"/>
      <c r="H78" s="38"/>
      <c r="I78" s="30"/>
      <c r="J78" s="38"/>
      <c r="K78" s="28"/>
      <c r="L78" s="38"/>
      <c r="M78" s="28"/>
      <c r="N78" s="38"/>
      <c r="O78" s="30"/>
      <c r="P78" s="38"/>
      <c r="Q78" s="28"/>
      <c r="R78" s="38"/>
      <c r="S78" s="28"/>
      <c r="T78" s="38"/>
      <c r="U78" s="30"/>
      <c r="V78" s="38"/>
      <c r="W78" s="28"/>
      <c r="X78" s="38"/>
      <c r="Y78" s="28"/>
      <c r="Z78" s="38"/>
      <c r="AA78" s="30"/>
      <c r="AB78" s="38"/>
    </row>
    <row r="79" spans="1:28" hidden="1">
      <c r="A79" s="11" t="s">
        <v>31</v>
      </c>
      <c r="B79" s="30">
        <v>92126538.129999995</v>
      </c>
      <c r="C79" s="30">
        <v>28131473.120000001</v>
      </c>
      <c r="D79" s="114">
        <f>+C79/$B79</f>
        <v>0.3053568894589701</v>
      </c>
      <c r="E79" s="30">
        <v>14806964.460000001</v>
      </c>
      <c r="F79" s="114">
        <f>+E79/$B79</f>
        <v>0.16072420347659058</v>
      </c>
      <c r="G79" s="30">
        <v>11945993.52</v>
      </c>
      <c r="H79" s="114">
        <f>+G79/$B79</f>
        <v>0.1296694064759383</v>
      </c>
      <c r="I79" s="30">
        <v>9220142.0800000001</v>
      </c>
      <c r="J79" s="114">
        <f>+I79/$B79</f>
        <v>0.10008128240952063</v>
      </c>
      <c r="K79" s="30">
        <v>4804116.5999999996</v>
      </c>
      <c r="L79" s="114">
        <f>+K79/$B79</f>
        <v>5.2146935047324781E-2</v>
      </c>
      <c r="M79" s="30">
        <v>3481332.95</v>
      </c>
      <c r="N79" s="114">
        <f>+M79/$B79</f>
        <v>3.7788600555981842E-2</v>
      </c>
      <c r="O79" s="30">
        <v>3210306.6</v>
      </c>
      <c r="P79" s="114">
        <f>+O79/$B79</f>
        <v>3.4846708290177233E-2</v>
      </c>
      <c r="Q79" s="30">
        <v>3189052.29</v>
      </c>
      <c r="R79" s="114">
        <f>+Q79/$B79</f>
        <v>3.4616000500310995E-2</v>
      </c>
      <c r="S79" s="30">
        <v>2761749</v>
      </c>
      <c r="T79" s="114">
        <f>+S79/$B79</f>
        <v>2.997777899895564E-2</v>
      </c>
      <c r="U79" s="30">
        <v>2924436.83</v>
      </c>
      <c r="V79" s="114">
        <f>+U79/$B79</f>
        <v>3.1743696109293937E-2</v>
      </c>
      <c r="W79" s="30">
        <v>2568215.62</v>
      </c>
      <c r="X79" s="114">
        <f>+W79/$B79</f>
        <v>2.787704468365005E-2</v>
      </c>
      <c r="Y79" s="30">
        <v>5082755.0599999996</v>
      </c>
      <c r="Z79" s="114">
        <f>+Y79/$B79</f>
        <v>5.5171453993285963E-2</v>
      </c>
      <c r="AA79" s="30">
        <f>+C79+E79+G79+I79+K79+M79+O79+Q79+S79+U79+W79+Y79</f>
        <v>92126538.129999995</v>
      </c>
      <c r="AB79" s="38">
        <f>+AA79/$B79</f>
        <v>1</v>
      </c>
    </row>
    <row r="80" spans="1:28" hidden="1">
      <c r="A80" s="11" t="s">
        <v>32</v>
      </c>
      <c r="B80" s="30">
        <v>3667391.32</v>
      </c>
      <c r="C80" s="30">
        <v>222195.26</v>
      </c>
      <c r="D80" s="114">
        <f>+C80/$B80</f>
        <v>6.0586733351378499E-2</v>
      </c>
      <c r="E80" s="30">
        <v>240549.39</v>
      </c>
      <c r="F80" s="114">
        <f>+E80/$B80</f>
        <v>6.5591416080463441E-2</v>
      </c>
      <c r="G80" s="30">
        <v>318324.24</v>
      </c>
      <c r="H80" s="114">
        <f>+G80/$B80</f>
        <v>8.6798547584499383E-2</v>
      </c>
      <c r="I80" s="30">
        <v>344719.39</v>
      </c>
      <c r="J80" s="114">
        <f>+I80/$B80</f>
        <v>9.3995802444119883E-2</v>
      </c>
      <c r="K80" s="30">
        <v>347632.94</v>
      </c>
      <c r="L80" s="114">
        <f>+K80/$B80</f>
        <v>9.4790249980741079E-2</v>
      </c>
      <c r="M80" s="30">
        <v>346211.5</v>
      </c>
      <c r="N80" s="114">
        <f>+M80/$B80</f>
        <v>9.440266112643797E-2</v>
      </c>
      <c r="O80" s="30">
        <v>348476.82</v>
      </c>
      <c r="P80" s="114">
        <f>+O80/$B80</f>
        <v>9.5020353595645202E-2</v>
      </c>
      <c r="Q80" s="30">
        <v>354902.29</v>
      </c>
      <c r="R80" s="114">
        <f>+Q80/$B80</f>
        <v>9.6772408241398142E-2</v>
      </c>
      <c r="S80" s="30">
        <v>283580.71000000002</v>
      </c>
      <c r="T80" s="114">
        <f>+S80/$B80</f>
        <v>7.7324911703177623E-2</v>
      </c>
      <c r="U80" s="30">
        <v>317840.48</v>
      </c>
      <c r="V80" s="114">
        <f>+U80/$B80</f>
        <v>8.6666639108476703E-2</v>
      </c>
      <c r="W80" s="30">
        <v>279665.43</v>
      </c>
      <c r="X80" s="114">
        <f>+W80/$B80</f>
        <v>7.6257319058060047E-2</v>
      </c>
      <c r="Y80" s="30">
        <v>263292.87</v>
      </c>
      <c r="Z80" s="114">
        <f>+Y80/$B80</f>
        <v>7.1792957725602083E-2</v>
      </c>
      <c r="AA80" s="30">
        <f>+C80+E80+G80+I80+K80+M80+O80+Q80+S80+U80+W80+Y80</f>
        <v>3667391.3200000003</v>
      </c>
      <c r="AB80" s="38">
        <f>+AA80/$B80</f>
        <v>1.0000000000000002</v>
      </c>
    </row>
    <row r="81" spans="1:28" hidden="1">
      <c r="A81" s="11" t="s">
        <v>43</v>
      </c>
      <c r="B81" s="30"/>
      <c r="C81" s="30"/>
      <c r="D81" s="114"/>
      <c r="E81" s="30"/>
      <c r="F81" s="114"/>
      <c r="G81" s="30"/>
      <c r="H81" s="114"/>
      <c r="I81" s="30"/>
      <c r="J81" s="114"/>
      <c r="K81" s="30"/>
      <c r="L81" s="114"/>
      <c r="M81" s="30"/>
      <c r="N81" s="114"/>
      <c r="O81" s="30"/>
      <c r="P81" s="114"/>
      <c r="Q81" s="30"/>
      <c r="R81" s="114"/>
      <c r="S81" s="30"/>
      <c r="T81" s="114"/>
      <c r="U81" s="30"/>
      <c r="V81" s="114"/>
      <c r="W81" s="30"/>
      <c r="X81" s="114"/>
      <c r="Y81" s="30"/>
      <c r="Z81" s="114"/>
      <c r="AA81" s="30"/>
      <c r="AB81" s="38"/>
    </row>
    <row r="82" spans="1:28" hidden="1">
      <c r="A82" s="11" t="s">
        <v>44</v>
      </c>
      <c r="B82" s="30"/>
      <c r="C82" s="30"/>
      <c r="D82" s="114"/>
      <c r="E82" s="30"/>
      <c r="F82" s="114"/>
      <c r="G82" s="30"/>
      <c r="H82" s="114"/>
      <c r="I82" s="30"/>
      <c r="J82" s="114"/>
      <c r="K82" s="30"/>
      <c r="L82" s="114"/>
      <c r="M82" s="30"/>
      <c r="N82" s="114"/>
      <c r="O82" s="30"/>
      <c r="P82" s="114"/>
      <c r="Q82" s="30"/>
      <c r="R82" s="114"/>
      <c r="S82" s="30"/>
      <c r="T82" s="114"/>
      <c r="U82" s="30"/>
      <c r="V82" s="114"/>
      <c r="W82" s="30"/>
      <c r="X82" s="114"/>
      <c r="Y82" s="30"/>
      <c r="Z82" s="114"/>
      <c r="AA82" s="30"/>
      <c r="AB82" s="38"/>
    </row>
    <row r="83" spans="1:28" hidden="1">
      <c r="A83" s="11" t="s">
        <v>45</v>
      </c>
      <c r="B83" s="30">
        <v>20612945.27</v>
      </c>
      <c r="C83" s="30">
        <v>2272919.5699999998</v>
      </c>
      <c r="D83" s="114">
        <f>+C83/$B83</f>
        <v>0.11026660868827892</v>
      </c>
      <c r="E83" s="30">
        <v>2037350.55</v>
      </c>
      <c r="F83" s="114">
        <f>+E83/$B83</f>
        <v>9.8838400981210203E-2</v>
      </c>
      <c r="G83" s="30">
        <v>2208666.11</v>
      </c>
      <c r="H83" s="114">
        <f>+G83/$B83</f>
        <v>0.10714946753458293</v>
      </c>
      <c r="I83" s="30">
        <v>1835933.06</v>
      </c>
      <c r="J83" s="114">
        <f>+I83/$B83</f>
        <v>8.9066993384589732E-2</v>
      </c>
      <c r="K83" s="30">
        <v>1511153.55</v>
      </c>
      <c r="L83" s="114">
        <f>+K83/$B83</f>
        <v>7.3310899059113449E-2</v>
      </c>
      <c r="M83" s="30">
        <v>1371295.25</v>
      </c>
      <c r="N83" s="114">
        <f>+M83/$B83</f>
        <v>6.6525924948521442E-2</v>
      </c>
      <c r="O83" s="30">
        <v>1722997.64</v>
      </c>
      <c r="P83" s="114">
        <f>+O83/$B83</f>
        <v>8.3588134418987853E-2</v>
      </c>
      <c r="Q83" s="30">
        <v>2029919.73</v>
      </c>
      <c r="R83" s="114">
        <f>+Q83/$B83</f>
        <v>9.8477908101485004E-2</v>
      </c>
      <c r="S83" s="30">
        <v>1570276.43</v>
      </c>
      <c r="T83" s="114">
        <f>+S83/$B83</f>
        <v>7.6179139343341404E-2</v>
      </c>
      <c r="U83" s="30">
        <v>1468175.12</v>
      </c>
      <c r="V83" s="114">
        <f>+U83/$B83</f>
        <v>7.1225877756381395E-2</v>
      </c>
      <c r="W83" s="30">
        <v>1239069.75</v>
      </c>
      <c r="X83" s="114">
        <f>+W83/$B83</f>
        <v>6.0111242414413103E-2</v>
      </c>
      <c r="Y83" s="30">
        <v>1345188.51</v>
      </c>
      <c r="Z83" s="114">
        <f>+Y83/$B83</f>
        <v>6.5259403369094568E-2</v>
      </c>
      <c r="AA83" s="30">
        <f>+C83+E83+G83+I83+K83+M83+O83+Q83+S83+U83+W83+Y83</f>
        <v>20612945.270000003</v>
      </c>
      <c r="AB83" s="38">
        <f>+AA83/$B83</f>
        <v>1.0000000000000002</v>
      </c>
    </row>
    <row r="84" spans="1:28" hidden="1">
      <c r="A84" s="11" t="s">
        <v>46</v>
      </c>
      <c r="B84" s="30"/>
      <c r="C84" s="30"/>
      <c r="D84" s="114"/>
      <c r="E84" s="30"/>
      <c r="F84" s="114"/>
      <c r="G84" s="30"/>
      <c r="H84" s="114"/>
      <c r="I84" s="30"/>
      <c r="J84" s="114"/>
      <c r="K84" s="30"/>
      <c r="L84" s="114"/>
      <c r="M84" s="30"/>
      <c r="N84" s="114"/>
      <c r="O84" s="30"/>
      <c r="P84" s="114"/>
      <c r="Q84" s="30"/>
      <c r="R84" s="114"/>
      <c r="S84" s="30"/>
      <c r="T84" s="114"/>
      <c r="U84" s="30"/>
      <c r="V84" s="114"/>
      <c r="W84" s="30"/>
      <c r="X84" s="114"/>
      <c r="Y84" s="30"/>
      <c r="Z84" s="114"/>
      <c r="AA84" s="30"/>
      <c r="AB84" s="38"/>
    </row>
    <row r="85" spans="1:28" hidden="1">
      <c r="A85" s="11" t="s">
        <v>35</v>
      </c>
      <c r="B85" s="30">
        <v>23739639.699999999</v>
      </c>
      <c r="C85" s="30">
        <v>2147319.5299999998</v>
      </c>
      <c r="D85" s="114">
        <f>+C85/$B85</f>
        <v>9.0452911549453716E-2</v>
      </c>
      <c r="E85" s="30">
        <v>1901185.87</v>
      </c>
      <c r="F85" s="114">
        <f>+E85/$B85</f>
        <v>8.0084866241672575E-2</v>
      </c>
      <c r="G85" s="30">
        <v>1878626.04</v>
      </c>
      <c r="H85" s="114">
        <f>+G85/$B85</f>
        <v>7.9134564118932271E-2</v>
      </c>
      <c r="I85" s="30">
        <v>1918363.64</v>
      </c>
      <c r="J85" s="114"/>
      <c r="K85" s="30">
        <v>1861674.53</v>
      </c>
      <c r="L85" s="114">
        <f>+K85/$B85</f>
        <v>7.8420504840265123E-2</v>
      </c>
      <c r="M85" s="30">
        <v>1529579.25</v>
      </c>
      <c r="N85" s="114">
        <f>+M85/$B85</f>
        <v>6.4431443329782304E-2</v>
      </c>
      <c r="O85" s="30">
        <v>1691044.96</v>
      </c>
      <c r="P85" s="114">
        <f>+O85/$B85</f>
        <v>7.1232966522234112E-2</v>
      </c>
      <c r="Q85" s="30">
        <v>1781493.64</v>
      </c>
      <c r="R85" s="114">
        <f>+Q85/$B85</f>
        <v>7.5042994018144252E-2</v>
      </c>
      <c r="S85" s="30">
        <v>1634088.6</v>
      </c>
      <c r="T85" s="114">
        <f>+S85/$B85</f>
        <v>6.8833757405340909E-2</v>
      </c>
      <c r="U85" s="30">
        <v>2083253.28</v>
      </c>
      <c r="V85" s="114">
        <f>+U85/$B85</f>
        <v>8.7754207996678241E-2</v>
      </c>
      <c r="W85" s="30">
        <v>1579822.07</v>
      </c>
      <c r="X85" s="114">
        <f>+W85/$B85</f>
        <v>6.654785371489863E-2</v>
      </c>
      <c r="Y85" s="30">
        <v>3733188.29</v>
      </c>
      <c r="Z85" s="114">
        <f>+Y85/$B85</f>
        <v>0.15725547384781918</v>
      </c>
      <c r="AA85" s="30">
        <f>+C85+E85+G85+I85+K85+M85+O85+Q85+S85+U85+W85+Y85</f>
        <v>23739639.699999999</v>
      </c>
      <c r="AB85" s="38">
        <f>+AA85/$B85</f>
        <v>1</v>
      </c>
    </row>
    <row r="86" spans="1:28" hidden="1">
      <c r="A86" s="41" t="s">
        <v>56</v>
      </c>
      <c r="B86" s="44">
        <f>SUM(B87:B91)</f>
        <v>0</v>
      </c>
      <c r="C86" s="44">
        <f>SUM(C87:C91)</f>
        <v>0</v>
      </c>
      <c r="D86" s="45"/>
      <c r="E86" s="44">
        <f>SUM(E87:E91)</f>
        <v>0</v>
      </c>
      <c r="F86" s="42"/>
      <c r="G86" s="44">
        <f>SUM(G87:G91)</f>
        <v>0</v>
      </c>
      <c r="H86" s="42"/>
      <c r="I86" s="44">
        <f>SUM(I87:I91)</f>
        <v>0</v>
      </c>
      <c r="J86" s="42"/>
      <c r="K86" s="44">
        <f>SUM(K87:K91)</f>
        <v>0</v>
      </c>
      <c r="L86" s="42"/>
      <c r="M86" s="44">
        <f>SUM(M87:M91)</f>
        <v>0</v>
      </c>
      <c r="N86" s="42"/>
      <c r="O86" s="44">
        <f>SUM(O87:O91)</f>
        <v>0</v>
      </c>
      <c r="P86" s="42"/>
      <c r="Q86" s="44">
        <f>SUM(Q87:Q91)</f>
        <v>0</v>
      </c>
      <c r="R86" s="42"/>
      <c r="S86" s="44">
        <f>SUM(S87:S91)</f>
        <v>0</v>
      </c>
      <c r="T86" s="42"/>
      <c r="U86" s="44">
        <f>SUM(U87:U91)</f>
        <v>0</v>
      </c>
      <c r="V86" s="42"/>
      <c r="W86" s="44">
        <f>SUM(W87:W91)</f>
        <v>0</v>
      </c>
      <c r="X86" s="42"/>
      <c r="Y86" s="44">
        <f>SUM(Y87:Y91)</f>
        <v>0</v>
      </c>
      <c r="Z86" s="42"/>
      <c r="AA86" s="44">
        <f>+C86+E86+G86+I86+K86+M86+O86+Q86+S86+U86+W86+Y86</f>
        <v>0</v>
      </c>
      <c r="AB86" s="42"/>
    </row>
    <row r="87" spans="1:28" hidden="1">
      <c r="A87" s="11" t="s">
        <v>47</v>
      </c>
      <c r="B87" s="28"/>
      <c r="C87" s="30"/>
      <c r="D87" s="34"/>
      <c r="E87" s="28"/>
      <c r="F87" s="38"/>
      <c r="G87" s="28"/>
      <c r="H87" s="38"/>
      <c r="I87" s="28"/>
      <c r="J87" s="38"/>
      <c r="K87" s="28"/>
      <c r="L87" s="38"/>
      <c r="M87" s="28"/>
      <c r="N87" s="38"/>
      <c r="O87" s="28"/>
      <c r="P87" s="38"/>
      <c r="Q87" s="28"/>
      <c r="R87" s="38"/>
      <c r="S87" s="28"/>
      <c r="T87" s="38"/>
      <c r="U87" s="28"/>
      <c r="V87" s="38"/>
      <c r="W87" s="28"/>
      <c r="X87" s="38"/>
      <c r="Y87" s="28"/>
      <c r="Z87" s="38"/>
      <c r="AA87" s="30"/>
      <c r="AB87" s="38"/>
    </row>
    <row r="88" spans="1:28" hidden="1">
      <c r="A88" s="11" t="s">
        <v>48</v>
      </c>
      <c r="B88" s="28"/>
      <c r="C88" s="28"/>
      <c r="D88" s="34"/>
      <c r="E88" s="28"/>
      <c r="F88" s="38"/>
      <c r="G88" s="28"/>
      <c r="H88" s="38"/>
      <c r="I88" s="28"/>
      <c r="J88" s="38"/>
      <c r="K88" s="28"/>
      <c r="L88" s="38"/>
      <c r="M88" s="28"/>
      <c r="N88" s="38"/>
      <c r="O88" s="28"/>
      <c r="P88" s="38"/>
      <c r="Q88" s="28"/>
      <c r="R88" s="38"/>
      <c r="S88" s="28"/>
      <c r="T88" s="38"/>
      <c r="U88" s="28"/>
      <c r="V88" s="38"/>
      <c r="W88" s="28"/>
      <c r="X88" s="38"/>
      <c r="Y88" s="28"/>
      <c r="Z88" s="38"/>
      <c r="AA88" s="30"/>
      <c r="AB88" s="38"/>
    </row>
    <row r="89" spans="1:28" hidden="1">
      <c r="A89" s="11" t="s">
        <v>33</v>
      </c>
      <c r="B89" s="28">
        <v>0</v>
      </c>
      <c r="C89" s="28"/>
      <c r="D89" s="34">
        <v>0</v>
      </c>
      <c r="E89" s="28"/>
      <c r="F89" s="38"/>
      <c r="G89" s="28"/>
      <c r="H89" s="38"/>
      <c r="I89" s="28"/>
      <c r="J89" s="38"/>
      <c r="K89" s="28"/>
      <c r="L89" s="38"/>
      <c r="M89" s="28"/>
      <c r="N89" s="38"/>
      <c r="O89" s="28"/>
      <c r="P89" s="38"/>
      <c r="Q89" s="28"/>
      <c r="R89" s="38"/>
      <c r="S89" s="28"/>
      <c r="T89" s="38"/>
      <c r="U89" s="28">
        <v>0</v>
      </c>
      <c r="V89" s="38"/>
      <c r="W89" s="28">
        <v>0</v>
      </c>
      <c r="X89" s="38"/>
      <c r="Y89" s="28">
        <v>0</v>
      </c>
      <c r="Z89" s="38"/>
      <c r="AA89" s="30">
        <f>+C89+E89+G89+I89+K89+M89+O89+Q89+S89+U89+W89+Y89</f>
        <v>0</v>
      </c>
      <c r="AB89" s="38"/>
    </row>
    <row r="90" spans="1:28" hidden="1">
      <c r="A90" s="11" t="s">
        <v>49</v>
      </c>
      <c r="B90" s="28">
        <v>0</v>
      </c>
      <c r="C90" s="28">
        <v>0</v>
      </c>
      <c r="D90" s="34"/>
      <c r="E90" s="28">
        <v>0</v>
      </c>
      <c r="F90" s="38"/>
      <c r="G90" s="28">
        <v>0</v>
      </c>
      <c r="H90" s="38"/>
      <c r="I90" s="28">
        <v>0</v>
      </c>
      <c r="J90" s="38"/>
      <c r="K90" s="28">
        <v>0</v>
      </c>
      <c r="L90" s="38"/>
      <c r="M90" s="28">
        <v>0</v>
      </c>
      <c r="N90" s="38"/>
      <c r="O90" s="28">
        <v>0</v>
      </c>
      <c r="P90" s="38"/>
      <c r="Q90" s="28">
        <v>0</v>
      </c>
      <c r="R90" s="38"/>
      <c r="S90" s="28">
        <v>0</v>
      </c>
      <c r="T90" s="38"/>
      <c r="U90" s="28">
        <v>0</v>
      </c>
      <c r="V90" s="38"/>
      <c r="W90" s="28">
        <v>0</v>
      </c>
      <c r="X90" s="38"/>
      <c r="Y90" s="28">
        <v>0</v>
      </c>
      <c r="Z90" s="38"/>
      <c r="AA90" s="30">
        <f>+C90+E90+G90+I90+K90+M90+O90+Q90+S90+U90+W90+Y90</f>
        <v>0</v>
      </c>
      <c r="AB90" s="38"/>
    </row>
    <row r="91" spans="1:28" hidden="1">
      <c r="A91" s="11" t="s">
        <v>34</v>
      </c>
      <c r="B91" s="28">
        <v>0</v>
      </c>
      <c r="C91" s="28">
        <v>0</v>
      </c>
      <c r="D91" s="34"/>
      <c r="E91" s="28">
        <v>0</v>
      </c>
      <c r="F91" s="38"/>
      <c r="G91" s="28">
        <v>0</v>
      </c>
      <c r="H91" s="38"/>
      <c r="I91" s="28">
        <v>0</v>
      </c>
      <c r="J91" s="38"/>
      <c r="K91" s="28">
        <v>0</v>
      </c>
      <c r="L91" s="38"/>
      <c r="M91" s="28">
        <v>0</v>
      </c>
      <c r="N91" s="38"/>
      <c r="O91" s="28">
        <v>0</v>
      </c>
      <c r="P91" s="38"/>
      <c r="Q91" s="28">
        <v>0</v>
      </c>
      <c r="R91" s="38"/>
      <c r="S91" s="28">
        <v>0</v>
      </c>
      <c r="T91" s="38"/>
      <c r="U91" s="28">
        <v>0</v>
      </c>
      <c r="V91" s="38"/>
      <c r="W91" s="28">
        <v>0</v>
      </c>
      <c r="X91" s="38"/>
      <c r="Y91" s="28">
        <v>0</v>
      </c>
      <c r="Z91" s="38"/>
      <c r="AA91" s="30">
        <f>+C91+E91+G91+I91+K91+M91+O91+Q91+S91+U91+W91+Y91</f>
        <v>0</v>
      </c>
      <c r="AB91" s="38"/>
    </row>
    <row r="92" spans="1:28" hidden="1">
      <c r="A92" s="39" t="s">
        <v>16</v>
      </c>
      <c r="B92" s="46">
        <f t="shared" ref="B92:Z92" si="21">+B77+B86</f>
        <v>140146514.41999999</v>
      </c>
      <c r="C92" s="46">
        <f t="shared" si="21"/>
        <v>32773907.480000004</v>
      </c>
      <c r="D92" s="40">
        <f t="shared" si="21"/>
        <v>0.23385460291777985</v>
      </c>
      <c r="E92" s="46">
        <f t="shared" si="21"/>
        <v>18986050.270000003</v>
      </c>
      <c r="F92" s="40">
        <f t="shared" si="21"/>
        <v>0.13547286815212115</v>
      </c>
      <c r="G92" s="46">
        <f t="shared" si="21"/>
        <v>16351609.91</v>
      </c>
      <c r="H92" s="40">
        <f t="shared" si="21"/>
        <v>0.1166751094572103</v>
      </c>
      <c r="I92" s="46">
        <f t="shared" si="21"/>
        <v>13319158.170000002</v>
      </c>
      <c r="J92" s="40">
        <f t="shared" si="21"/>
        <v>9.5037384448137627E-2</v>
      </c>
      <c r="K92" s="46">
        <f t="shared" si="21"/>
        <v>8524577.6199999992</v>
      </c>
      <c r="L92" s="40">
        <f t="shared" si="21"/>
        <v>6.0826183621327912E-2</v>
      </c>
      <c r="M92" s="46">
        <f t="shared" si="21"/>
        <v>6728418.9500000002</v>
      </c>
      <c r="N92" s="40">
        <f t="shared" si="21"/>
        <v>4.8009891489957761E-2</v>
      </c>
      <c r="O92" s="46">
        <f t="shared" si="21"/>
        <v>6972826.0199999996</v>
      </c>
      <c r="P92" s="40">
        <f t="shared" si="21"/>
        <v>4.9753831187719672E-2</v>
      </c>
      <c r="Q92" s="46">
        <f t="shared" si="21"/>
        <v>7355367.9500000002</v>
      </c>
      <c r="R92" s="40">
        <f t="shared" si="21"/>
        <v>5.2483416947188326E-2</v>
      </c>
      <c r="S92" s="46">
        <f t="shared" si="21"/>
        <v>6249694.7400000002</v>
      </c>
      <c r="T92" s="40">
        <f t="shared" si="21"/>
        <v>4.4594007677354837E-2</v>
      </c>
      <c r="U92" s="46">
        <f t="shared" si="21"/>
        <v>6793705.71</v>
      </c>
      <c r="V92" s="40">
        <f t="shared" si="21"/>
        <v>4.8475737966912187E-2</v>
      </c>
      <c r="W92" s="46">
        <f t="shared" si="21"/>
        <v>5666772.8700000001</v>
      </c>
      <c r="X92" s="40">
        <f t="shared" si="21"/>
        <v>4.0434632951465738E-2</v>
      </c>
      <c r="Y92" s="46">
        <f t="shared" si="21"/>
        <v>10424424.73</v>
      </c>
      <c r="Z92" s="40">
        <f t="shared" si="21"/>
        <v>7.4382333182824806E-2</v>
      </c>
      <c r="AA92" s="46">
        <f>+C92+E92+G92+I92+K92+M92+O92+Q92+S92+U92+W92+Y92</f>
        <v>140146514.42000002</v>
      </c>
      <c r="AB92" s="40">
        <f>+AA92/B92</f>
        <v>1.0000000000000002</v>
      </c>
    </row>
    <row r="93" spans="1:28" hidden="1">
      <c r="B93" s="36"/>
    </row>
    <row r="94" spans="1:28" s="165" customFormat="1" hidden="1">
      <c r="B94" s="36"/>
    </row>
    <row r="95" spans="1:28" s="165" customFormat="1" hidden="1">
      <c r="B95" s="36"/>
    </row>
    <row r="96" spans="1:28" s="165" customFormat="1" hidden="1">
      <c r="B96" s="36"/>
    </row>
    <row r="97" spans="1:30" s="165" customFormat="1">
      <c r="B97" s="36"/>
    </row>
    <row r="98" spans="1:30" s="165" customFormat="1">
      <c r="B98" s="36"/>
    </row>
    <row r="99" spans="1:30" s="165" customFormat="1" ht="18">
      <c r="A99" s="263" t="s">
        <v>0</v>
      </c>
      <c r="B99" s="263"/>
      <c r="C99" s="263"/>
      <c r="D99" s="263"/>
      <c r="E99" s="263"/>
      <c r="F99" s="263"/>
      <c r="G99" s="263"/>
      <c r="H99" s="263"/>
      <c r="I99" s="263"/>
      <c r="J99" s="263"/>
      <c r="K99" s="263"/>
      <c r="L99" s="263"/>
      <c r="M99" s="263"/>
      <c r="N99" s="263"/>
      <c r="O99" s="263"/>
      <c r="P99" s="263"/>
      <c r="Q99" s="263"/>
      <c r="R99" s="263"/>
      <c r="S99" s="263"/>
      <c r="T99" s="263"/>
      <c r="U99" s="263"/>
      <c r="V99" s="263"/>
      <c r="W99" s="263"/>
      <c r="X99" s="263"/>
      <c r="Y99" s="263"/>
      <c r="Z99" s="263"/>
      <c r="AA99" s="263"/>
      <c r="AB99" s="263"/>
    </row>
    <row r="100" spans="1:30" s="165" customFormat="1" ht="18">
      <c r="A100" s="263" t="s">
        <v>80</v>
      </c>
      <c r="B100" s="263"/>
      <c r="C100" s="263"/>
      <c r="D100" s="263"/>
      <c r="E100" s="263"/>
      <c r="F100" s="263"/>
      <c r="G100" s="263"/>
      <c r="H100" s="263"/>
      <c r="I100" s="263"/>
      <c r="J100" s="263"/>
      <c r="K100" s="263"/>
      <c r="L100" s="263"/>
      <c r="M100" s="263"/>
      <c r="N100" s="263"/>
      <c r="O100" s="263"/>
      <c r="P100" s="263"/>
      <c r="Q100" s="263"/>
      <c r="R100" s="263"/>
      <c r="S100" s="263"/>
      <c r="T100" s="263"/>
      <c r="U100" s="263"/>
      <c r="V100" s="263"/>
      <c r="W100" s="263"/>
      <c r="X100" s="263"/>
      <c r="Y100" s="263"/>
      <c r="Z100" s="263"/>
      <c r="AA100" s="263"/>
      <c r="AB100" s="263"/>
    </row>
    <row r="101" spans="1:30" s="165" customFormat="1" ht="18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</row>
    <row r="102" spans="1:30" s="165" customFormat="1">
      <c r="A102" s="35"/>
      <c r="B102" s="35"/>
      <c r="C102" s="270" t="s">
        <v>60</v>
      </c>
      <c r="D102" s="271"/>
      <c r="E102" s="271"/>
      <c r="F102" s="271"/>
      <c r="G102" s="271"/>
      <c r="H102" s="271"/>
      <c r="I102" s="271"/>
      <c r="J102" s="271"/>
      <c r="K102" s="271"/>
      <c r="L102" s="271"/>
      <c r="M102" s="271"/>
      <c r="N102" s="271"/>
      <c r="O102" s="271"/>
      <c r="P102" s="271"/>
      <c r="Q102" s="271"/>
      <c r="R102" s="271"/>
      <c r="S102" s="271"/>
      <c r="T102" s="271"/>
      <c r="U102" s="271"/>
      <c r="V102" s="271"/>
      <c r="W102" s="271"/>
      <c r="X102" s="271"/>
      <c r="Y102" s="271"/>
      <c r="Z102" s="272"/>
      <c r="AA102" s="27"/>
      <c r="AB102" s="27"/>
    </row>
    <row r="103" spans="1:30" s="165" customFormat="1">
      <c r="A103" s="264" t="s">
        <v>50</v>
      </c>
      <c r="B103" s="266" t="s">
        <v>57</v>
      </c>
      <c r="C103" s="267" t="s">
        <v>2</v>
      </c>
      <c r="D103" s="267"/>
      <c r="E103" s="267" t="s">
        <v>3</v>
      </c>
      <c r="F103" s="267"/>
      <c r="G103" s="267" t="s">
        <v>4</v>
      </c>
      <c r="H103" s="267"/>
      <c r="I103" s="267" t="s">
        <v>5</v>
      </c>
      <c r="J103" s="267"/>
      <c r="K103" s="267" t="s">
        <v>6</v>
      </c>
      <c r="L103" s="267"/>
      <c r="M103" s="267" t="s">
        <v>7</v>
      </c>
      <c r="N103" s="267"/>
      <c r="O103" s="267" t="s">
        <v>8</v>
      </c>
      <c r="P103" s="267"/>
      <c r="Q103" s="267" t="s">
        <v>9</v>
      </c>
      <c r="R103" s="267"/>
      <c r="S103" s="267" t="s">
        <v>10</v>
      </c>
      <c r="T103" s="267"/>
      <c r="U103" s="267" t="s">
        <v>11</v>
      </c>
      <c r="V103" s="267"/>
      <c r="W103" s="267" t="s">
        <v>12</v>
      </c>
      <c r="X103" s="267"/>
      <c r="Y103" s="267" t="s">
        <v>13</v>
      </c>
      <c r="Z103" s="267"/>
      <c r="AA103" s="267" t="s">
        <v>14</v>
      </c>
      <c r="AB103" s="267"/>
    </row>
    <row r="104" spans="1:30" s="165" customFormat="1">
      <c r="A104" s="265"/>
      <c r="B104" s="266"/>
      <c r="C104" s="3" t="s">
        <v>1</v>
      </c>
      <c r="D104" s="3" t="s">
        <v>15</v>
      </c>
      <c r="E104" s="3" t="s">
        <v>1</v>
      </c>
      <c r="F104" s="3"/>
      <c r="G104" s="3" t="s">
        <v>1</v>
      </c>
      <c r="H104" s="3"/>
      <c r="I104" s="3" t="s">
        <v>1</v>
      </c>
      <c r="J104" s="3" t="s">
        <v>15</v>
      </c>
      <c r="K104" s="3" t="s">
        <v>1</v>
      </c>
      <c r="L104" s="3" t="s">
        <v>15</v>
      </c>
      <c r="M104" s="3" t="s">
        <v>1</v>
      </c>
      <c r="N104" s="3" t="s">
        <v>15</v>
      </c>
      <c r="O104" s="3" t="s">
        <v>1</v>
      </c>
      <c r="P104" s="3" t="s">
        <v>15</v>
      </c>
      <c r="Q104" s="3" t="s">
        <v>1</v>
      </c>
      <c r="R104" s="3" t="s">
        <v>15</v>
      </c>
      <c r="S104" s="3" t="s">
        <v>1</v>
      </c>
      <c r="T104" s="3" t="s">
        <v>15</v>
      </c>
      <c r="U104" s="3" t="s">
        <v>1</v>
      </c>
      <c r="V104" s="3" t="s">
        <v>15</v>
      </c>
      <c r="W104" s="3" t="s">
        <v>1</v>
      </c>
      <c r="X104" s="3" t="s">
        <v>15</v>
      </c>
      <c r="Y104" s="3" t="s">
        <v>1</v>
      </c>
      <c r="Z104" s="3" t="s">
        <v>15</v>
      </c>
      <c r="AA104" s="3" t="s">
        <v>1</v>
      </c>
      <c r="AB104" s="3" t="s">
        <v>15</v>
      </c>
    </row>
    <row r="105" spans="1:30" s="165" customFormat="1">
      <c r="A105" s="41" t="s">
        <v>28</v>
      </c>
      <c r="B105" s="44">
        <f>SUM(B106:B113)</f>
        <v>153246585.21000001</v>
      </c>
      <c r="C105" s="44">
        <f>SUM(C106:C113)</f>
        <v>40322890.589999996</v>
      </c>
      <c r="D105" s="42">
        <f>+C105/$B105</f>
        <v>0.26312423558896209</v>
      </c>
      <c r="E105" s="44">
        <f>SUM(E106:E113)</f>
        <v>19373385.129999999</v>
      </c>
      <c r="F105" s="42">
        <f>+E105/$B105</f>
        <v>0.12641968565532383</v>
      </c>
      <c r="G105" s="44">
        <f>SUM(G106:G113)</f>
        <v>15039738.07</v>
      </c>
      <c r="H105" s="42">
        <f>+G105/$B105</f>
        <v>9.8140771289555576E-2</v>
      </c>
      <c r="I105" s="44">
        <f>SUM(I106:I113)</f>
        <v>13509054.65</v>
      </c>
      <c r="J105" s="42">
        <f>+I105/$B105</f>
        <v>8.8152402427029583E-2</v>
      </c>
      <c r="K105" s="44">
        <f>SUM(K106:K113)</f>
        <v>9481024.6499999985</v>
      </c>
      <c r="L105" s="42">
        <f>+K105/$B105</f>
        <v>6.1867771063268823E-2</v>
      </c>
      <c r="M105" s="44">
        <f>SUM(M106:M113)</f>
        <v>7258493.7299999995</v>
      </c>
      <c r="N105" s="42">
        <f>+M105/$B105</f>
        <v>4.7364799157210528E-2</v>
      </c>
      <c r="O105" s="44">
        <f>SUM(O106:O113)</f>
        <v>7834651.790000001</v>
      </c>
      <c r="P105" s="42">
        <f>+O105/$B105</f>
        <v>5.1124478756011824E-2</v>
      </c>
      <c r="Q105" s="44">
        <f>SUM(Q106:Q113)</f>
        <v>7614682.5299999993</v>
      </c>
      <c r="R105" s="42">
        <f>+Q105/$B105</f>
        <v>4.9689084553272693E-2</v>
      </c>
      <c r="S105" s="44">
        <f>SUM(S106:S113)</f>
        <v>7344277.5199999996</v>
      </c>
      <c r="T105" s="42">
        <f>+S105/$B105</f>
        <v>4.7924575349824847E-2</v>
      </c>
      <c r="U105" s="44">
        <f>SUM(U106:U113)</f>
        <v>7864842.709999999</v>
      </c>
      <c r="V105" s="42">
        <f>+U105/$B105</f>
        <v>5.1321487517796797E-2</v>
      </c>
      <c r="W105" s="44">
        <f>SUM(W106:W113)</f>
        <v>5839207.6900000004</v>
      </c>
      <c r="X105" s="42">
        <f>+W105/$B105</f>
        <v>3.8103346198535497E-2</v>
      </c>
      <c r="Y105" s="44">
        <f>SUM(Y106:Y113)</f>
        <v>11764336.149999999</v>
      </c>
      <c r="Z105" s="42">
        <f>+Y105/$B105</f>
        <v>7.6767362443207796E-2</v>
      </c>
      <c r="AA105" s="44">
        <f>+C105+E105+G105+I105+K105+M105+O105+Q105+S105+U105+W105+Y105</f>
        <v>153246585.21000001</v>
      </c>
      <c r="AB105" s="42">
        <f>+AA105/$B105</f>
        <v>1</v>
      </c>
      <c r="AD105" s="118">
        <f>B105-AA105</f>
        <v>0</v>
      </c>
    </row>
    <row r="106" spans="1:30" s="165" customFormat="1">
      <c r="A106" s="11" t="s">
        <v>42</v>
      </c>
      <c r="B106" s="28"/>
      <c r="C106" s="28"/>
      <c r="D106" s="38"/>
      <c r="E106" s="28"/>
      <c r="F106" s="38"/>
      <c r="G106" s="28"/>
      <c r="H106" s="38"/>
      <c r="I106" s="30"/>
      <c r="J106" s="38"/>
      <c r="K106" s="28"/>
      <c r="L106" s="38"/>
      <c r="M106" s="28"/>
      <c r="N106" s="38"/>
      <c r="O106" s="30"/>
      <c r="P106" s="38"/>
      <c r="Q106" s="28"/>
      <c r="R106" s="38"/>
      <c r="S106" s="28"/>
      <c r="T106" s="38"/>
      <c r="U106" s="30"/>
      <c r="V106" s="38"/>
      <c r="W106" s="28"/>
      <c r="X106" s="38"/>
      <c r="Y106" s="28"/>
      <c r="Z106" s="38"/>
      <c r="AA106" s="30"/>
      <c r="AB106" s="38"/>
    </row>
    <row r="107" spans="1:30" s="165" customFormat="1">
      <c r="A107" s="11" t="s">
        <v>31</v>
      </c>
      <c r="B107" s="178">
        <v>102302081.89</v>
      </c>
      <c r="C107" s="178">
        <v>34825073.399999999</v>
      </c>
      <c r="D107" s="114">
        <f>+C107/$B107</f>
        <v>0.34041412214314026</v>
      </c>
      <c r="E107" s="178">
        <v>14463503.279999999</v>
      </c>
      <c r="F107" s="114">
        <f>+E107/$B107</f>
        <v>0.14138034156090623</v>
      </c>
      <c r="G107" s="178">
        <v>10703365.27</v>
      </c>
      <c r="H107" s="114">
        <f>+G107/$B107</f>
        <v>0.10462509728305197</v>
      </c>
      <c r="I107" s="178">
        <v>9214165.1699999999</v>
      </c>
      <c r="J107" s="114">
        <f>+I107/$B107</f>
        <v>9.0068207799597885E-2</v>
      </c>
      <c r="K107" s="178">
        <v>5253154.59</v>
      </c>
      <c r="L107" s="114">
        <f>+K107/$B107</f>
        <v>5.1349439746968574E-2</v>
      </c>
      <c r="M107" s="178">
        <v>3716269.43</v>
      </c>
      <c r="N107" s="114">
        <f>+M107/$B107</f>
        <v>3.6326430130678156E-2</v>
      </c>
      <c r="O107" s="178">
        <v>3516436.7</v>
      </c>
      <c r="P107" s="114">
        <f>+O107/$B107</f>
        <v>3.4373070762929711E-2</v>
      </c>
      <c r="Q107" s="178">
        <v>3227275.65</v>
      </c>
      <c r="R107" s="114">
        <f>+Q107/$B107</f>
        <v>3.1546529556164049E-2</v>
      </c>
      <c r="S107" s="178">
        <v>3129383.83</v>
      </c>
      <c r="T107" s="114">
        <f>+S107/$B107</f>
        <v>3.05896397432543E-2</v>
      </c>
      <c r="U107" s="178">
        <v>3213049.51</v>
      </c>
      <c r="V107" s="114">
        <f>+U107/$B107</f>
        <v>3.1407469434051413E-2</v>
      </c>
      <c r="W107" s="178">
        <v>2651301.69</v>
      </c>
      <c r="X107" s="114">
        <f>+W107/$B107</f>
        <v>2.5916400145705773E-2</v>
      </c>
      <c r="Y107" s="178">
        <v>8389103.3699999992</v>
      </c>
      <c r="Z107" s="114">
        <f>+Y107/$B107</f>
        <v>8.2003251693551618E-2</v>
      </c>
      <c r="AA107" s="30">
        <f>+C107+E107+G107+I107+K107+M107+O107+Q107+S107+U107+W107+Y107</f>
        <v>102302081.89000003</v>
      </c>
      <c r="AB107" s="38">
        <f>+AA107/$B107</f>
        <v>1.0000000000000002</v>
      </c>
    </row>
    <row r="108" spans="1:30" s="165" customFormat="1">
      <c r="A108" s="11" t="s">
        <v>32</v>
      </c>
      <c r="B108" s="178">
        <v>4791914.33</v>
      </c>
      <c r="C108" s="178">
        <v>352156.14</v>
      </c>
      <c r="D108" s="114">
        <f>+C108/$B108</f>
        <v>7.3489656898770142E-2</v>
      </c>
      <c r="E108" s="178">
        <v>399525.24</v>
      </c>
      <c r="F108" s="114">
        <f>+E108/$B108</f>
        <v>8.3374871186397026E-2</v>
      </c>
      <c r="G108" s="178">
        <v>398904.55</v>
      </c>
      <c r="H108" s="114">
        <f>+G108/$B108</f>
        <v>8.3245342576898695E-2</v>
      </c>
      <c r="I108" s="178">
        <v>462414.9</v>
      </c>
      <c r="J108" s="114">
        <f>+I108/$B108</f>
        <v>9.6498991458388611E-2</v>
      </c>
      <c r="K108" s="178">
        <v>489548.52</v>
      </c>
      <c r="L108" s="114">
        <f>+K108/$B108</f>
        <v>0.10216136731309218</v>
      </c>
      <c r="M108" s="178">
        <v>418386.42</v>
      </c>
      <c r="N108" s="114">
        <f>+M108/$B108</f>
        <v>8.7310914007930521E-2</v>
      </c>
      <c r="O108" s="178">
        <v>489327.69</v>
      </c>
      <c r="P108" s="114">
        <f>+O108/$B108</f>
        <v>0.102115283434126</v>
      </c>
      <c r="Q108" s="178">
        <v>425975.05</v>
      </c>
      <c r="R108" s="114">
        <f>+Q108/$B108</f>
        <v>8.8894546242858224E-2</v>
      </c>
      <c r="S108" s="178">
        <v>386151.5</v>
      </c>
      <c r="T108" s="114">
        <f>+S108/$B108</f>
        <v>8.0583974046130324E-2</v>
      </c>
      <c r="U108" s="178">
        <v>390545.2</v>
      </c>
      <c r="V108" s="114">
        <f>+U108/$B108</f>
        <v>8.1500872742021668E-2</v>
      </c>
      <c r="W108" s="178">
        <v>299136.82</v>
      </c>
      <c r="X108" s="114">
        <f>+W108/$B108</f>
        <v>6.242532720738353E-2</v>
      </c>
      <c r="Y108" s="178">
        <v>279842.3</v>
      </c>
      <c r="Z108" s="114">
        <f>+Y108/$B108</f>
        <v>5.8398852886003071E-2</v>
      </c>
      <c r="AA108" s="30">
        <f>+C108+E108+G108+I108+K108+M108+O108+Q108+S108+U108+W108+Y108</f>
        <v>4791914.33</v>
      </c>
      <c r="AB108" s="38">
        <f>+AA108/$B108</f>
        <v>1</v>
      </c>
    </row>
    <row r="109" spans="1:30" s="165" customFormat="1">
      <c r="A109" s="11" t="s">
        <v>43</v>
      </c>
      <c r="B109" s="30"/>
      <c r="C109" s="30"/>
      <c r="D109" s="114"/>
      <c r="E109" s="30"/>
      <c r="F109" s="114"/>
      <c r="G109" s="30"/>
      <c r="H109" s="114"/>
      <c r="I109" s="30"/>
      <c r="J109" s="114"/>
      <c r="K109" s="30"/>
      <c r="L109" s="114"/>
      <c r="M109" s="30"/>
      <c r="N109" s="114"/>
      <c r="O109" s="30"/>
      <c r="P109" s="114"/>
      <c r="Q109" s="30"/>
      <c r="R109" s="114"/>
      <c r="S109" s="30"/>
      <c r="T109" s="114"/>
      <c r="U109" s="30"/>
      <c r="V109" s="114"/>
      <c r="W109" s="30"/>
      <c r="X109" s="114"/>
      <c r="Y109" s="30"/>
      <c r="Z109" s="114"/>
      <c r="AA109" s="30"/>
      <c r="AB109" s="38"/>
    </row>
    <row r="110" spans="1:30" s="165" customFormat="1">
      <c r="A110" s="11" t="s">
        <v>44</v>
      </c>
      <c r="B110" s="30"/>
      <c r="C110" s="30"/>
      <c r="D110" s="114"/>
      <c r="E110" s="30"/>
      <c r="F110" s="114"/>
      <c r="G110" s="30"/>
      <c r="H110" s="114"/>
      <c r="I110" s="30"/>
      <c r="J110" s="114"/>
      <c r="K110" s="30"/>
      <c r="L110" s="114"/>
      <c r="M110" s="30"/>
      <c r="N110" s="114"/>
      <c r="O110" s="30"/>
      <c r="P110" s="114"/>
      <c r="Q110" s="30"/>
      <c r="R110" s="114"/>
      <c r="S110" s="30"/>
      <c r="T110" s="114"/>
      <c r="U110" s="30"/>
      <c r="V110" s="114"/>
      <c r="W110" s="30"/>
      <c r="X110" s="114"/>
      <c r="Y110" s="30"/>
      <c r="Z110" s="114"/>
      <c r="AA110" s="30"/>
      <c r="AB110" s="38"/>
    </row>
    <row r="111" spans="1:30" s="165" customFormat="1">
      <c r="A111" s="11" t="s">
        <v>45</v>
      </c>
      <c r="B111" s="178">
        <v>23968970.920000002</v>
      </c>
      <c r="C111" s="178">
        <v>2945962.59</v>
      </c>
      <c r="D111" s="114">
        <f>+C111/$B111</f>
        <v>0.12290734549399669</v>
      </c>
      <c r="E111" s="178">
        <v>2534910.5499999998</v>
      </c>
      <c r="F111" s="114">
        <f>+E111/$B111</f>
        <v>0.10575800515010177</v>
      </c>
      <c r="G111" s="178">
        <v>2239154.7400000002</v>
      </c>
      <c r="H111" s="114">
        <f>+G111/$B111</f>
        <v>9.3418893429906169E-2</v>
      </c>
      <c r="I111" s="178">
        <v>2015985.9</v>
      </c>
      <c r="J111" s="114">
        <f>+I111/$B111</f>
        <v>8.410815411010561E-2</v>
      </c>
      <c r="K111" s="176">
        <v>1998797.02</v>
      </c>
      <c r="L111" s="114">
        <f>+K111/$B111</f>
        <v>8.339102361429207E-2</v>
      </c>
      <c r="M111" s="178">
        <v>1518452.24</v>
      </c>
      <c r="N111" s="114">
        <f>+M111/$B111</f>
        <v>6.3350748143007882E-2</v>
      </c>
      <c r="O111" s="178">
        <v>2069160.8</v>
      </c>
      <c r="P111" s="114">
        <f>+O111/$B111</f>
        <v>8.632664317989E-2</v>
      </c>
      <c r="Q111" s="178">
        <v>2193106.33</v>
      </c>
      <c r="R111" s="114">
        <f>+Q111/$B111</f>
        <v>9.1497725843959599E-2</v>
      </c>
      <c r="S111" s="178">
        <v>1973900.6</v>
      </c>
      <c r="T111" s="114">
        <f>+S111/$B111</f>
        <v>8.2352329876329955E-2</v>
      </c>
      <c r="U111" s="178">
        <v>1968221.73</v>
      </c>
      <c r="V111" s="114">
        <f>+U111/$B111</f>
        <v>8.2115403976634291E-2</v>
      </c>
      <c r="W111" s="178">
        <v>1334145.6499999999</v>
      </c>
      <c r="X111" s="114">
        <f>+W111/$B111</f>
        <v>5.5661365456736091E-2</v>
      </c>
      <c r="Y111" s="178">
        <v>1177172.77</v>
      </c>
      <c r="Z111" s="114">
        <f>+Y111/$B111</f>
        <v>4.9112361725039799E-2</v>
      </c>
      <c r="AA111" s="30">
        <f>+C111+E111+G111+I111+K111+M111+O111+Q111+S111+U111+W111+Y111</f>
        <v>23968970.920000002</v>
      </c>
      <c r="AB111" s="38">
        <f>+AA111/$B111</f>
        <v>1</v>
      </c>
    </row>
    <row r="112" spans="1:30" s="165" customFormat="1">
      <c r="A112" s="11" t="s">
        <v>46</v>
      </c>
      <c r="B112" s="30"/>
      <c r="C112" s="30"/>
      <c r="D112" s="114"/>
      <c r="E112" s="30"/>
      <c r="F112" s="114"/>
      <c r="G112" s="30"/>
      <c r="H112" s="114"/>
      <c r="I112" s="30"/>
      <c r="J112" s="114"/>
      <c r="K112" s="30"/>
      <c r="L112" s="114"/>
      <c r="M112" s="30"/>
      <c r="N112" s="114"/>
      <c r="O112" s="30"/>
      <c r="P112" s="114"/>
      <c r="Q112" s="30"/>
      <c r="R112" s="114"/>
      <c r="S112" s="30"/>
      <c r="T112" s="114"/>
      <c r="U112" s="30"/>
      <c r="V112" s="114"/>
      <c r="W112" s="30"/>
      <c r="X112" s="114"/>
      <c r="Y112" s="30"/>
      <c r="Z112" s="114"/>
      <c r="AA112" s="30"/>
      <c r="AB112" s="38"/>
    </row>
    <row r="113" spans="1:30" s="165" customFormat="1">
      <c r="A113" s="11" t="s">
        <v>35</v>
      </c>
      <c r="B113" s="178">
        <v>22183618.07</v>
      </c>
      <c r="C113" s="178">
        <v>2199698.46</v>
      </c>
      <c r="D113" s="114">
        <f>+C113/$B113</f>
        <v>9.9158687868628637E-2</v>
      </c>
      <c r="E113" s="178">
        <v>1975446.06</v>
      </c>
      <c r="F113" s="114">
        <f>+E113/$B113</f>
        <v>8.9049768787332895E-2</v>
      </c>
      <c r="G113" s="178">
        <v>1698313.51</v>
      </c>
      <c r="H113" s="114">
        <f>+G113/$B113</f>
        <v>7.6557101940765607E-2</v>
      </c>
      <c r="I113" s="178">
        <v>1816488.68</v>
      </c>
      <c r="J113" s="114"/>
      <c r="K113" s="176">
        <v>1739524.52</v>
      </c>
      <c r="L113" s="114">
        <f>+K113/$B113</f>
        <v>7.8414824602143898E-2</v>
      </c>
      <c r="M113" s="178">
        <v>1605385.64</v>
      </c>
      <c r="N113" s="114">
        <f>+M113/$B113</f>
        <v>7.2368070660711659E-2</v>
      </c>
      <c r="O113" s="178">
        <v>1759726.6</v>
      </c>
      <c r="P113" s="114">
        <f>+O113/$B113</f>
        <v>7.9325500215844641E-2</v>
      </c>
      <c r="Q113" s="178">
        <v>1768325.5</v>
      </c>
      <c r="R113" s="114">
        <f>+Q113/$B113</f>
        <v>7.9713124090943208E-2</v>
      </c>
      <c r="S113" s="178">
        <v>1854841.59</v>
      </c>
      <c r="T113" s="114">
        <f>+S113/$B113</f>
        <v>8.3613123168054984E-2</v>
      </c>
      <c r="U113" s="178">
        <v>2293026.27</v>
      </c>
      <c r="V113" s="114">
        <f>+U113/$B113</f>
        <v>0.10336574776776257</v>
      </c>
      <c r="W113" s="178">
        <v>1554623.53</v>
      </c>
      <c r="X113" s="114">
        <f>+W113/$B113</f>
        <v>7.0079800557979952E-2</v>
      </c>
      <c r="Y113" s="178">
        <v>1918217.71</v>
      </c>
      <c r="Z113" s="114">
        <f>+Y113/$B113</f>
        <v>8.6470011516926557E-2</v>
      </c>
      <c r="AA113" s="30">
        <f>+C113+E113+G113+I113+K113+M113+O113+Q113+S113+U113+W113+Y113</f>
        <v>22183618.070000004</v>
      </c>
      <c r="AB113" s="38">
        <f>+AA113/$B113</f>
        <v>1.0000000000000002</v>
      </c>
      <c r="AD113" s="118">
        <f>AA113-B113</f>
        <v>0</v>
      </c>
    </row>
    <row r="114" spans="1:30" s="165" customFormat="1">
      <c r="A114" s="177" t="s">
        <v>56</v>
      </c>
      <c r="B114" s="44">
        <f>SUM(B115:B119)</f>
        <v>0</v>
      </c>
      <c r="C114" s="44">
        <f>SUM(C115:C119)</f>
        <v>0</v>
      </c>
      <c r="D114" s="45"/>
      <c r="E114" s="44">
        <f>SUM(E115:E119)</f>
        <v>0</v>
      </c>
      <c r="F114" s="42"/>
      <c r="G114" s="44">
        <f>SUM(G115:G119)</f>
        <v>0</v>
      </c>
      <c r="H114" s="42"/>
      <c r="I114" s="44">
        <f>SUM(I115:I119)</f>
        <v>0</v>
      </c>
      <c r="J114" s="42"/>
      <c r="K114" s="44">
        <f>SUM(K115:K119)</f>
        <v>0</v>
      </c>
      <c r="L114" s="42"/>
      <c r="M114" s="44">
        <f>SUM(M115:M119)</f>
        <v>0</v>
      </c>
      <c r="N114" s="42"/>
      <c r="O114" s="44">
        <f>SUM(O115:O119)</f>
        <v>0</v>
      </c>
      <c r="P114" s="42"/>
      <c r="Q114" s="44">
        <f>SUM(Q115:Q119)</f>
        <v>0</v>
      </c>
      <c r="R114" s="42"/>
      <c r="S114" s="44">
        <f>SUM(S115:S119)</f>
        <v>0</v>
      </c>
      <c r="T114" s="42"/>
      <c r="U114" s="44">
        <f>SUM(U115:U119)</f>
        <v>0</v>
      </c>
      <c r="V114" s="42"/>
      <c r="W114" s="44">
        <f>SUM(W115:W119)</f>
        <v>0</v>
      </c>
      <c r="X114" s="42"/>
      <c r="Y114" s="44">
        <f>SUM(Y115:Y119)</f>
        <v>0</v>
      </c>
      <c r="Z114" s="42"/>
      <c r="AA114" s="44">
        <f>+C114+E114+G114+I114+K114+M114+O114+Q114+S114+U114+W114+Y114</f>
        <v>0</v>
      </c>
      <c r="AB114" s="42"/>
    </row>
    <row r="115" spans="1:30" s="165" customFormat="1">
      <c r="A115" s="11" t="s">
        <v>47</v>
      </c>
      <c r="B115" s="28"/>
      <c r="C115" s="30"/>
      <c r="D115" s="34"/>
      <c r="E115" s="28"/>
      <c r="F115" s="38"/>
      <c r="G115" s="28"/>
      <c r="H115" s="38"/>
      <c r="I115" s="28"/>
      <c r="J115" s="38"/>
      <c r="K115" s="28"/>
      <c r="L115" s="38"/>
      <c r="M115" s="28"/>
      <c r="N115" s="38"/>
      <c r="O115" s="28"/>
      <c r="P115" s="38"/>
      <c r="Q115" s="28"/>
      <c r="R115" s="38"/>
      <c r="S115" s="28"/>
      <c r="T115" s="38"/>
      <c r="U115" s="28"/>
      <c r="V115" s="38"/>
      <c r="W115" s="28"/>
      <c r="X115" s="38"/>
      <c r="Y115" s="28"/>
      <c r="Z115" s="38"/>
      <c r="AA115" s="30"/>
      <c r="AB115" s="38"/>
    </row>
    <row r="116" spans="1:30" s="165" customFormat="1">
      <c r="A116" s="11" t="s">
        <v>48</v>
      </c>
      <c r="B116" s="28"/>
      <c r="C116" s="28"/>
      <c r="D116" s="34"/>
      <c r="E116" s="28"/>
      <c r="F116" s="38"/>
      <c r="G116" s="28"/>
      <c r="H116" s="38"/>
      <c r="I116" s="28"/>
      <c r="J116" s="38"/>
      <c r="K116" s="28"/>
      <c r="L116" s="38"/>
      <c r="M116" s="28"/>
      <c r="N116" s="38"/>
      <c r="O116" s="28"/>
      <c r="P116" s="38"/>
      <c r="Q116" s="28"/>
      <c r="R116" s="38"/>
      <c r="S116" s="28"/>
      <c r="T116" s="38"/>
      <c r="U116" s="28"/>
      <c r="V116" s="38"/>
      <c r="W116" s="28"/>
      <c r="X116" s="38"/>
      <c r="Y116" s="28"/>
      <c r="Z116" s="38"/>
      <c r="AA116" s="30"/>
      <c r="AB116" s="38"/>
      <c r="AD116" s="118">
        <f>AD105-AD113</f>
        <v>0</v>
      </c>
    </row>
    <row r="117" spans="1:30" s="165" customFormat="1">
      <c r="A117" s="11" t="s">
        <v>33</v>
      </c>
      <c r="B117" s="28">
        <v>0</v>
      </c>
      <c r="C117" s="28"/>
      <c r="D117" s="34">
        <v>0</v>
      </c>
      <c r="E117" s="28"/>
      <c r="F117" s="38"/>
      <c r="G117" s="28"/>
      <c r="H117" s="38"/>
      <c r="I117" s="28"/>
      <c r="J117" s="38"/>
      <c r="K117" s="28"/>
      <c r="L117" s="38"/>
      <c r="M117" s="28"/>
      <c r="N117" s="38"/>
      <c r="O117" s="28"/>
      <c r="P117" s="38"/>
      <c r="Q117" s="28"/>
      <c r="R117" s="38"/>
      <c r="S117" s="28"/>
      <c r="T117" s="38"/>
      <c r="U117" s="28">
        <v>0</v>
      </c>
      <c r="V117" s="38"/>
      <c r="W117" s="28">
        <v>0</v>
      </c>
      <c r="X117" s="38"/>
      <c r="Y117" s="28">
        <v>0</v>
      </c>
      <c r="Z117" s="38"/>
      <c r="AA117" s="30">
        <f>+C117+E117+G117+I117+K117+M117+O117+Q117+S117+U117+W117+Y117</f>
        <v>0</v>
      </c>
      <c r="AB117" s="38"/>
    </row>
    <row r="118" spans="1:30" s="165" customFormat="1">
      <c r="A118" s="11" t="s">
        <v>49</v>
      </c>
      <c r="B118" s="28">
        <v>0</v>
      </c>
      <c r="C118" s="28">
        <v>0</v>
      </c>
      <c r="D118" s="34"/>
      <c r="E118" s="28">
        <v>0</v>
      </c>
      <c r="F118" s="38"/>
      <c r="G118" s="28">
        <v>0</v>
      </c>
      <c r="H118" s="38"/>
      <c r="I118" s="28">
        <v>0</v>
      </c>
      <c r="J118" s="38"/>
      <c r="K118" s="28">
        <v>0</v>
      </c>
      <c r="L118" s="38"/>
      <c r="M118" s="28">
        <v>0</v>
      </c>
      <c r="N118" s="38"/>
      <c r="O118" s="28">
        <v>0</v>
      </c>
      <c r="P118" s="38"/>
      <c r="Q118" s="28">
        <v>0</v>
      </c>
      <c r="R118" s="38"/>
      <c r="S118" s="28">
        <v>0</v>
      </c>
      <c r="T118" s="38"/>
      <c r="U118" s="28">
        <v>0</v>
      </c>
      <c r="V118" s="38"/>
      <c r="W118" s="28">
        <v>0</v>
      </c>
      <c r="X118" s="38"/>
      <c r="Y118" s="28">
        <v>0</v>
      </c>
      <c r="Z118" s="38"/>
      <c r="AA118" s="30">
        <f>+C118+E118+G118+I118+K118+M118+O118+Q118+S118+U118+W118+Y118</f>
        <v>0</v>
      </c>
      <c r="AB118" s="38"/>
    </row>
    <row r="119" spans="1:30" s="165" customFormat="1">
      <c r="A119" s="11" t="s">
        <v>34</v>
      </c>
      <c r="B119" s="28">
        <v>0</v>
      </c>
      <c r="C119" s="28">
        <v>0</v>
      </c>
      <c r="D119" s="34"/>
      <c r="E119" s="28">
        <v>0</v>
      </c>
      <c r="F119" s="38"/>
      <c r="G119" s="28">
        <v>0</v>
      </c>
      <c r="H119" s="38"/>
      <c r="I119" s="28">
        <v>0</v>
      </c>
      <c r="J119" s="38"/>
      <c r="K119" s="28">
        <v>0</v>
      </c>
      <c r="L119" s="38"/>
      <c r="M119" s="28">
        <v>0</v>
      </c>
      <c r="N119" s="38"/>
      <c r="O119" s="28">
        <v>0</v>
      </c>
      <c r="P119" s="38"/>
      <c r="Q119" s="28">
        <v>0</v>
      </c>
      <c r="R119" s="38"/>
      <c r="S119" s="28">
        <v>0</v>
      </c>
      <c r="T119" s="38"/>
      <c r="U119" s="28">
        <v>0</v>
      </c>
      <c r="V119" s="38"/>
      <c r="W119" s="28">
        <v>0</v>
      </c>
      <c r="X119" s="38"/>
      <c r="Y119" s="28">
        <v>0</v>
      </c>
      <c r="Z119" s="38"/>
      <c r="AA119" s="30">
        <f>+C119+E119+G119+I119+K119+M119+O119+Q119+S119+U119+W119+Y119</f>
        <v>0</v>
      </c>
      <c r="AB119" s="38"/>
    </row>
    <row r="120" spans="1:30" s="165" customFormat="1">
      <c r="A120" s="39" t="s">
        <v>16</v>
      </c>
      <c r="B120" s="46">
        <f t="shared" ref="B120:Z120" si="22">+B105+B114</f>
        <v>153246585.21000001</v>
      </c>
      <c r="C120" s="46">
        <f t="shared" si="22"/>
        <v>40322890.589999996</v>
      </c>
      <c r="D120" s="40">
        <f t="shared" si="22"/>
        <v>0.26312423558896209</v>
      </c>
      <c r="E120" s="46">
        <f t="shared" si="22"/>
        <v>19373385.129999999</v>
      </c>
      <c r="F120" s="40">
        <f t="shared" si="22"/>
        <v>0.12641968565532383</v>
      </c>
      <c r="G120" s="46">
        <f t="shared" si="22"/>
        <v>15039738.07</v>
      </c>
      <c r="H120" s="40">
        <f t="shared" si="22"/>
        <v>9.8140771289555576E-2</v>
      </c>
      <c r="I120" s="46">
        <f t="shared" si="22"/>
        <v>13509054.65</v>
      </c>
      <c r="J120" s="40">
        <f t="shared" si="22"/>
        <v>8.8152402427029583E-2</v>
      </c>
      <c r="K120" s="46">
        <f t="shared" si="22"/>
        <v>9481024.6499999985</v>
      </c>
      <c r="L120" s="40">
        <f t="shared" si="22"/>
        <v>6.1867771063268823E-2</v>
      </c>
      <c r="M120" s="46">
        <f t="shared" si="22"/>
        <v>7258493.7299999995</v>
      </c>
      <c r="N120" s="40">
        <f t="shared" si="22"/>
        <v>4.7364799157210528E-2</v>
      </c>
      <c r="O120" s="46">
        <f t="shared" si="22"/>
        <v>7834651.790000001</v>
      </c>
      <c r="P120" s="40">
        <f t="shared" si="22"/>
        <v>5.1124478756011824E-2</v>
      </c>
      <c r="Q120" s="46">
        <f t="shared" si="22"/>
        <v>7614682.5299999993</v>
      </c>
      <c r="R120" s="40">
        <f t="shared" si="22"/>
        <v>4.9689084553272693E-2</v>
      </c>
      <c r="S120" s="46">
        <f t="shared" si="22"/>
        <v>7344277.5199999996</v>
      </c>
      <c r="T120" s="40">
        <f t="shared" si="22"/>
        <v>4.7924575349824847E-2</v>
      </c>
      <c r="U120" s="46">
        <f t="shared" si="22"/>
        <v>7864842.709999999</v>
      </c>
      <c r="V120" s="40">
        <f t="shared" si="22"/>
        <v>5.1321487517796797E-2</v>
      </c>
      <c r="W120" s="46">
        <f t="shared" si="22"/>
        <v>5839207.6900000004</v>
      </c>
      <c r="X120" s="40">
        <f t="shared" si="22"/>
        <v>3.8103346198535497E-2</v>
      </c>
      <c r="Y120" s="46">
        <f t="shared" si="22"/>
        <v>11764336.149999999</v>
      </c>
      <c r="Z120" s="40">
        <f t="shared" si="22"/>
        <v>7.6767362443207796E-2</v>
      </c>
      <c r="AA120" s="46">
        <f>+C120+E120+G120+I120+K120+M120+O120+Q120+S120+U120+W120+Y120</f>
        <v>153246585.21000001</v>
      </c>
      <c r="AB120" s="40">
        <f>+AA120/B120</f>
        <v>1</v>
      </c>
    </row>
    <row r="121" spans="1:30" s="165" customFormat="1">
      <c r="B121" s="36"/>
    </row>
    <row r="122" spans="1:30" s="165" customFormat="1">
      <c r="B122" s="36"/>
    </row>
    <row r="123" spans="1:30" s="165" customFormat="1" ht="18">
      <c r="A123" s="263" t="s">
        <v>0</v>
      </c>
      <c r="B123" s="263"/>
      <c r="C123" s="263"/>
      <c r="D123" s="263"/>
      <c r="E123" s="263"/>
      <c r="F123" s="263"/>
      <c r="G123" s="263"/>
      <c r="H123" s="263"/>
      <c r="I123" s="263"/>
      <c r="J123" s="263"/>
      <c r="K123" s="263"/>
      <c r="L123" s="263"/>
      <c r="M123" s="263"/>
      <c r="N123" s="263"/>
      <c r="O123" s="263"/>
      <c r="P123" s="263"/>
      <c r="Q123" s="263"/>
      <c r="R123" s="263"/>
      <c r="S123" s="263"/>
      <c r="T123" s="263"/>
      <c r="U123" s="263"/>
      <c r="V123" s="263"/>
      <c r="W123" s="263"/>
      <c r="X123" s="263"/>
      <c r="Y123" s="263"/>
      <c r="Z123" s="263"/>
      <c r="AA123" s="263"/>
      <c r="AB123" s="263"/>
    </row>
    <row r="124" spans="1:30" s="165" customFormat="1" ht="18">
      <c r="A124" s="263" t="s">
        <v>85</v>
      </c>
      <c r="B124" s="263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3"/>
      <c r="Z124" s="263"/>
      <c r="AA124" s="263"/>
      <c r="AB124" s="263"/>
    </row>
    <row r="125" spans="1:30" s="165" customFormat="1" ht="18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</row>
    <row r="126" spans="1:30" s="165" customFormat="1">
      <c r="A126" s="35"/>
      <c r="B126" s="35"/>
      <c r="C126" s="270" t="s">
        <v>60</v>
      </c>
      <c r="D126" s="271"/>
      <c r="E126" s="271"/>
      <c r="F126" s="271"/>
      <c r="G126" s="271"/>
      <c r="H126" s="271"/>
      <c r="I126" s="271"/>
      <c r="J126" s="271"/>
      <c r="K126" s="271"/>
      <c r="L126" s="271"/>
      <c r="M126" s="271"/>
      <c r="N126" s="271"/>
      <c r="O126" s="271"/>
      <c r="P126" s="271"/>
      <c r="Q126" s="271"/>
      <c r="R126" s="271"/>
      <c r="S126" s="271"/>
      <c r="T126" s="271"/>
      <c r="U126" s="271"/>
      <c r="V126" s="271"/>
      <c r="W126" s="271"/>
      <c r="X126" s="271"/>
      <c r="Y126" s="271"/>
      <c r="Z126" s="272"/>
      <c r="AA126" s="27"/>
      <c r="AB126" s="27"/>
    </row>
    <row r="127" spans="1:30" s="165" customFormat="1">
      <c r="A127" s="264" t="s">
        <v>50</v>
      </c>
      <c r="B127" s="266" t="s">
        <v>57</v>
      </c>
      <c r="C127" s="267" t="s">
        <v>2</v>
      </c>
      <c r="D127" s="267"/>
      <c r="E127" s="267" t="s">
        <v>3</v>
      </c>
      <c r="F127" s="267"/>
      <c r="G127" s="267" t="s">
        <v>4</v>
      </c>
      <c r="H127" s="267"/>
      <c r="I127" s="267" t="s">
        <v>5</v>
      </c>
      <c r="J127" s="267"/>
      <c r="K127" s="267" t="s">
        <v>6</v>
      </c>
      <c r="L127" s="267"/>
      <c r="M127" s="267" t="s">
        <v>7</v>
      </c>
      <c r="N127" s="267"/>
      <c r="O127" s="267" t="s">
        <v>8</v>
      </c>
      <c r="P127" s="267"/>
      <c r="Q127" s="267" t="s">
        <v>9</v>
      </c>
      <c r="R127" s="267"/>
      <c r="S127" s="267" t="s">
        <v>10</v>
      </c>
      <c r="T127" s="267"/>
      <c r="U127" s="267" t="s">
        <v>11</v>
      </c>
      <c r="V127" s="267"/>
      <c r="W127" s="267" t="s">
        <v>12</v>
      </c>
      <c r="X127" s="267"/>
      <c r="Y127" s="267" t="s">
        <v>13</v>
      </c>
      <c r="Z127" s="267"/>
      <c r="AA127" s="267" t="s">
        <v>14</v>
      </c>
      <c r="AB127" s="267"/>
    </row>
    <row r="128" spans="1:30" s="165" customFormat="1">
      <c r="A128" s="265"/>
      <c r="B128" s="266"/>
      <c r="C128" s="3" t="s">
        <v>1</v>
      </c>
      <c r="D128" s="3" t="s">
        <v>15</v>
      </c>
      <c r="E128" s="3" t="s">
        <v>1</v>
      </c>
      <c r="F128" s="3"/>
      <c r="G128" s="3" t="s">
        <v>1</v>
      </c>
      <c r="H128" s="3"/>
      <c r="I128" s="3" t="s">
        <v>1</v>
      </c>
      <c r="J128" s="3" t="s">
        <v>15</v>
      </c>
      <c r="K128" s="3" t="s">
        <v>1</v>
      </c>
      <c r="L128" s="3" t="s">
        <v>15</v>
      </c>
      <c r="M128" s="3" t="s">
        <v>1</v>
      </c>
      <c r="N128" s="3" t="s">
        <v>15</v>
      </c>
      <c r="O128" s="3" t="s">
        <v>1</v>
      </c>
      <c r="P128" s="3" t="s">
        <v>15</v>
      </c>
      <c r="Q128" s="3" t="s">
        <v>1</v>
      </c>
      <c r="R128" s="3" t="s">
        <v>15</v>
      </c>
      <c r="S128" s="3" t="s">
        <v>1</v>
      </c>
      <c r="T128" s="3" t="s">
        <v>15</v>
      </c>
      <c r="U128" s="3" t="s">
        <v>1</v>
      </c>
      <c r="V128" s="3" t="s">
        <v>15</v>
      </c>
      <c r="W128" s="3" t="s">
        <v>1</v>
      </c>
      <c r="X128" s="3" t="s">
        <v>15</v>
      </c>
      <c r="Y128" s="3" t="s">
        <v>1</v>
      </c>
      <c r="Z128" s="3" t="s">
        <v>15</v>
      </c>
      <c r="AA128" s="3" t="s">
        <v>1</v>
      </c>
      <c r="AB128" s="3" t="s">
        <v>15</v>
      </c>
    </row>
    <row r="129" spans="1:28" s="165" customFormat="1">
      <c r="A129" s="41" t="s">
        <v>28</v>
      </c>
      <c r="B129" s="44">
        <f>SUM(B130:B137)</f>
        <v>137818609.65000001</v>
      </c>
      <c r="C129" s="44">
        <f>SUM(C130:C137)</f>
        <v>44388549.349999994</v>
      </c>
      <c r="D129" s="42">
        <f>+C129/$B129</f>
        <v>0.32207950336117758</v>
      </c>
      <c r="E129" s="44">
        <f>SUM(E130:E137)</f>
        <v>16728266.800000001</v>
      </c>
      <c r="F129" s="42">
        <f>+E129/$B129</f>
        <v>0.1213788677921117</v>
      </c>
      <c r="G129" s="44">
        <f>SUM(G130:G137)</f>
        <v>12141907.009999998</v>
      </c>
      <c r="H129" s="42">
        <f>+G129/$B129</f>
        <v>8.8100634891290955E-2</v>
      </c>
      <c r="I129" s="44">
        <f>SUM(I130:I137)</f>
        <v>8815914.5700000003</v>
      </c>
      <c r="J129" s="42">
        <f>+I129/$B129</f>
        <v>6.3967519280513946E-2</v>
      </c>
      <c r="K129" s="44">
        <f>SUM(K130:K137)</f>
        <v>5732863.1799999997</v>
      </c>
      <c r="L129" s="42">
        <f>+K129/$B129</f>
        <v>4.1597163072236806E-2</v>
      </c>
      <c r="M129" s="44">
        <f>SUM(M130:M137)</f>
        <v>5515976.9299999997</v>
      </c>
      <c r="N129" s="42">
        <f>+M129/$B129</f>
        <v>4.0023455061752609E-2</v>
      </c>
      <c r="O129" s="44">
        <f>SUM(O130:O137)</f>
        <v>6234518.0599999996</v>
      </c>
      <c r="P129" s="42">
        <f>+O129/$B129</f>
        <v>4.5237127814835701E-2</v>
      </c>
      <c r="Q129" s="44">
        <f>SUM(Q130:Q137)</f>
        <v>5041391.83</v>
      </c>
      <c r="R129" s="42">
        <f>+Q129/$B129</f>
        <v>3.6579906318914168E-2</v>
      </c>
      <c r="S129" s="44">
        <f>SUM(S130:S137)</f>
        <v>5636256.2200000007</v>
      </c>
      <c r="T129" s="42">
        <f>+S129/$B129</f>
        <v>4.0896191264109163E-2</v>
      </c>
      <c r="U129" s="44">
        <f>SUM(U130:U137)</f>
        <v>7108029.3400000008</v>
      </c>
      <c r="V129" s="42">
        <f>+U129/$B129</f>
        <v>5.1575250672252014E-2</v>
      </c>
      <c r="W129" s="44">
        <f>SUM(W130:W137)</f>
        <v>7483787.4500000011</v>
      </c>
      <c r="X129" s="42">
        <f>+W129/$B129</f>
        <v>5.4301719259870658E-2</v>
      </c>
      <c r="Y129" s="44">
        <f>SUM(Y130:Y137)</f>
        <v>12991148.91</v>
      </c>
      <c r="Z129" s="42">
        <f>+Y129/$B129</f>
        <v>9.4262661210934656E-2</v>
      </c>
      <c r="AA129" s="44">
        <f>+C129+E129+G129+I129+K129+M129+O129+Q129+S129+U129+W129+Y129</f>
        <v>137818609.65000001</v>
      </c>
      <c r="AB129" s="42">
        <f>+AA129/$B129</f>
        <v>1</v>
      </c>
    </row>
    <row r="130" spans="1:28" s="165" customFormat="1">
      <c r="A130" s="11" t="s">
        <v>42</v>
      </c>
      <c r="B130" s="28"/>
      <c r="C130" s="28"/>
      <c r="D130" s="38"/>
      <c r="E130" s="28"/>
      <c r="F130" s="38"/>
      <c r="G130" s="28"/>
      <c r="H130" s="38"/>
      <c r="I130" s="30"/>
      <c r="J130" s="38"/>
      <c r="K130" s="28"/>
      <c r="L130" s="38"/>
      <c r="M130" s="28"/>
      <c r="N130" s="38"/>
      <c r="O130" s="30"/>
      <c r="P130" s="38"/>
      <c r="Q130" s="28"/>
      <c r="R130" s="38"/>
      <c r="S130" s="28"/>
      <c r="T130" s="38"/>
      <c r="U130" s="30"/>
      <c r="V130" s="38"/>
      <c r="W130" s="28"/>
      <c r="X130" s="38"/>
      <c r="Y130" s="28"/>
      <c r="Z130" s="38"/>
      <c r="AA130" s="30"/>
      <c r="AB130" s="38"/>
    </row>
    <row r="131" spans="1:28" s="165" customFormat="1">
      <c r="A131" s="11" t="s">
        <v>31</v>
      </c>
      <c r="B131" s="178">
        <v>104512824.16</v>
      </c>
      <c r="C131" s="178">
        <v>39747923.399999999</v>
      </c>
      <c r="D131" s="114">
        <f>+C131/$B131</f>
        <v>0.38031623123253661</v>
      </c>
      <c r="E131" s="178">
        <v>12742915.970000001</v>
      </c>
      <c r="F131" s="114">
        <f>+E131/$B131</f>
        <v>0.12192681685160196</v>
      </c>
      <c r="G131" s="178">
        <v>7683947.5800000001</v>
      </c>
      <c r="H131" s="114">
        <f>+G131/$B131</f>
        <v>7.3521576340110653E-2</v>
      </c>
      <c r="I131" s="178">
        <v>6460696.5800000001</v>
      </c>
      <c r="J131" s="114">
        <f>+I131/$B131</f>
        <v>6.1817261488496748E-2</v>
      </c>
      <c r="K131" s="178">
        <v>4277347.8899999997</v>
      </c>
      <c r="L131" s="114">
        <f>+K131/$B131</f>
        <v>4.0926536282779556E-2</v>
      </c>
      <c r="M131" s="178">
        <v>3984063.02</v>
      </c>
      <c r="N131" s="114">
        <f>+M131/$B131</f>
        <v>3.8120326878745024E-2</v>
      </c>
      <c r="O131" s="178">
        <v>4636317.17</v>
      </c>
      <c r="P131" s="114">
        <f>+O131/$B131</f>
        <v>4.4361227507374631E-2</v>
      </c>
      <c r="Q131" s="178">
        <v>3549720.96</v>
      </c>
      <c r="R131" s="114">
        <f>+Q131/$B131</f>
        <v>3.3964453535057934E-2</v>
      </c>
      <c r="S131" s="178">
        <v>3514274.3</v>
      </c>
      <c r="T131" s="114">
        <f>+S131/$B131</f>
        <v>3.3625292668581545E-2</v>
      </c>
      <c r="U131" s="178">
        <v>3840346.68</v>
      </c>
      <c r="V131" s="114">
        <f>+U131/$B131</f>
        <v>3.6745219649990175E-2</v>
      </c>
      <c r="W131" s="178">
        <v>4445813.03</v>
      </c>
      <c r="X131" s="114">
        <f>+W131/$B131</f>
        <v>4.2538445073437584E-2</v>
      </c>
      <c r="Y131" s="178">
        <v>9629457.5800000001</v>
      </c>
      <c r="Z131" s="114">
        <f>+Y131/$B131</f>
        <v>9.2136612491287601E-2</v>
      </c>
      <c r="AA131" s="30">
        <f>+C131+E131+G131+I131+K131+M131+O131+Q131+S131+U131+W131+Y131</f>
        <v>104512824.15999998</v>
      </c>
      <c r="AB131" s="38">
        <f>+AA131/$B131</f>
        <v>0.99999999999999989</v>
      </c>
    </row>
    <row r="132" spans="1:28" s="165" customFormat="1">
      <c r="A132" s="11" t="s">
        <v>32</v>
      </c>
      <c r="B132" s="178">
        <v>2678131.11</v>
      </c>
      <c r="C132" s="178">
        <v>334701.86</v>
      </c>
      <c r="D132" s="114">
        <f>+C132/$B132</f>
        <v>0.12497590530584592</v>
      </c>
      <c r="E132" s="178">
        <v>312233.07</v>
      </c>
      <c r="F132" s="114">
        <f>+E132/$B132</f>
        <v>0.11658617788880396</v>
      </c>
      <c r="G132" s="178">
        <v>359833</v>
      </c>
      <c r="H132" s="114">
        <f>+G132/$B132</f>
        <v>0.13435974013983207</v>
      </c>
      <c r="I132" s="178">
        <v>295896.23</v>
      </c>
      <c r="J132" s="114">
        <f>+I132/$B132</f>
        <v>0.1104860881885652</v>
      </c>
      <c r="K132" s="178">
        <v>247219.63</v>
      </c>
      <c r="L132" s="114">
        <f>+K132/$B132</f>
        <v>9.2310503050763645E-2</v>
      </c>
      <c r="M132" s="178">
        <v>218162.37</v>
      </c>
      <c r="N132" s="114">
        <f>+M132/$B132</f>
        <v>8.1460675762061549E-2</v>
      </c>
      <c r="O132" s="178">
        <v>192242.87</v>
      </c>
      <c r="P132" s="114">
        <f>+O132/$B132</f>
        <v>7.1782471471308965E-2</v>
      </c>
      <c r="Q132" s="178">
        <v>154178.29999999999</v>
      </c>
      <c r="R132" s="114">
        <f>+Q132/$B132</f>
        <v>5.7569362240820238E-2</v>
      </c>
      <c r="S132" s="178">
        <v>144616.06</v>
      </c>
      <c r="T132" s="114">
        <f>+S132/$B132</f>
        <v>5.3998872370367261E-2</v>
      </c>
      <c r="U132" s="178">
        <v>141229.16</v>
      </c>
      <c r="V132" s="114">
        <f>+U132/$B132</f>
        <v>5.2734221813359995E-2</v>
      </c>
      <c r="W132" s="178">
        <v>132386.69</v>
      </c>
      <c r="X132" s="114">
        <f>+W132/$B132</f>
        <v>4.9432490256236937E-2</v>
      </c>
      <c r="Y132" s="178">
        <v>145431.87</v>
      </c>
      <c r="Z132" s="114">
        <f>+Y132/$B132</f>
        <v>5.4303491512034299E-2</v>
      </c>
      <c r="AA132" s="30">
        <f>+C132+E132+G132+I132+K132+M132+O132+Q132+S132+U132+W132+Y132</f>
        <v>2678131.1100000003</v>
      </c>
      <c r="AB132" s="38">
        <f>+AA132/$B132</f>
        <v>1.0000000000000002</v>
      </c>
    </row>
    <row r="133" spans="1:28" s="165" customFormat="1">
      <c r="A133" s="11" t="s">
        <v>43</v>
      </c>
      <c r="B133" s="30"/>
      <c r="C133" s="30"/>
      <c r="D133" s="114"/>
      <c r="E133" s="30"/>
      <c r="F133" s="114"/>
      <c r="G133" s="30"/>
      <c r="H133" s="114"/>
      <c r="I133" s="30"/>
      <c r="J133" s="114"/>
      <c r="K133" s="30"/>
      <c r="L133" s="114"/>
      <c r="M133" s="30"/>
      <c r="N133" s="114"/>
      <c r="O133" s="30"/>
      <c r="P133" s="114"/>
      <c r="Q133" s="30"/>
      <c r="R133" s="114"/>
      <c r="S133" s="30"/>
      <c r="T133" s="114"/>
      <c r="U133" s="30"/>
      <c r="V133" s="114"/>
      <c r="W133" s="30"/>
      <c r="X133" s="114"/>
      <c r="Y133" s="30"/>
      <c r="Z133" s="114"/>
      <c r="AA133" s="30"/>
      <c r="AB133" s="38"/>
    </row>
    <row r="134" spans="1:28" s="165" customFormat="1">
      <c r="A134" s="11" t="s">
        <v>44</v>
      </c>
      <c r="B134" s="30"/>
      <c r="C134" s="30"/>
      <c r="D134" s="114"/>
      <c r="E134" s="30"/>
      <c r="F134" s="114"/>
      <c r="G134" s="30"/>
      <c r="H134" s="114"/>
      <c r="I134" s="30"/>
      <c r="J134" s="114"/>
      <c r="K134" s="30"/>
      <c r="L134" s="114"/>
      <c r="M134" s="30"/>
      <c r="N134" s="114"/>
      <c r="O134" s="30"/>
      <c r="P134" s="114"/>
      <c r="Q134" s="30"/>
      <c r="R134" s="114"/>
      <c r="S134" s="30"/>
      <c r="T134" s="114"/>
      <c r="U134" s="30"/>
      <c r="V134" s="114"/>
      <c r="W134" s="30"/>
      <c r="X134" s="114"/>
      <c r="Y134" s="30"/>
      <c r="Z134" s="114"/>
      <c r="AA134" s="30"/>
      <c r="AB134" s="38"/>
    </row>
    <row r="135" spans="1:28" s="165" customFormat="1">
      <c r="A135" s="11" t="s">
        <v>45</v>
      </c>
      <c r="B135" s="178">
        <v>14169446.970000001</v>
      </c>
      <c r="C135" s="178">
        <v>2785572.87</v>
      </c>
      <c r="D135" s="114">
        <f>+C135/$B135</f>
        <v>0.19659009105279146</v>
      </c>
      <c r="E135" s="178">
        <v>2254239.35</v>
      </c>
      <c r="F135" s="114">
        <f>+E135/$B135</f>
        <v>0.15909155486256779</v>
      </c>
      <c r="G135" s="178">
        <v>2700163.3</v>
      </c>
      <c r="H135" s="114">
        <f>+G135/$B135</f>
        <v>0.19056236321127215</v>
      </c>
      <c r="I135" s="178">
        <v>916619.58</v>
      </c>
      <c r="J135" s="114">
        <f>+I135/$B135</f>
        <v>6.4689862768864292E-2</v>
      </c>
      <c r="K135" s="176">
        <v>158633.53</v>
      </c>
      <c r="L135" s="114">
        <f>+K135/$B135</f>
        <v>1.1195463756338826E-2</v>
      </c>
      <c r="M135" s="178">
        <v>163892.89000000001</v>
      </c>
      <c r="N135" s="114">
        <f>+M135/$B135</f>
        <v>1.1566639851717516E-2</v>
      </c>
      <c r="O135" s="178">
        <v>301220.39</v>
      </c>
      <c r="P135" s="114">
        <f>+O135/$B135</f>
        <v>2.1258443652582441E-2</v>
      </c>
      <c r="Q135" s="178">
        <v>236296.32000000001</v>
      </c>
      <c r="R135" s="114">
        <f>+Q135/$B135</f>
        <v>1.6676467366742966E-2</v>
      </c>
      <c r="S135" s="178">
        <v>640378.46</v>
      </c>
      <c r="T135" s="114">
        <f>+S135/$B135</f>
        <v>4.5194315724236059E-2</v>
      </c>
      <c r="U135" s="178">
        <v>1373824.46</v>
      </c>
      <c r="V135" s="114">
        <f>+U135/$B135</f>
        <v>9.6956815810010394E-2</v>
      </c>
      <c r="W135" s="178">
        <v>1236658.48</v>
      </c>
      <c r="X135" s="114">
        <f>+W135/$B135</f>
        <v>8.7276411183745725E-2</v>
      </c>
      <c r="Y135" s="178">
        <v>1401933.89</v>
      </c>
      <c r="Z135" s="114">
        <f>+Y135/$B135</f>
        <v>9.8940621533657486E-2</v>
      </c>
      <c r="AA135" s="30">
        <f>+C135+E135+G135+I135+K135+M135+O135+Q135+S135+U135+W135+Y135</f>
        <v>14169433.520000003</v>
      </c>
      <c r="AB135" s="38">
        <f>+AA135/$B135</f>
        <v>0.99999905077452733</v>
      </c>
    </row>
    <row r="136" spans="1:28" s="165" customFormat="1">
      <c r="A136" s="11" t="s">
        <v>46</v>
      </c>
      <c r="B136" s="30"/>
      <c r="C136" s="30"/>
      <c r="D136" s="114"/>
      <c r="E136" s="30"/>
      <c r="F136" s="114"/>
      <c r="G136" s="30"/>
      <c r="H136" s="114"/>
      <c r="I136" s="30"/>
      <c r="J136" s="114"/>
      <c r="K136" s="30"/>
      <c r="L136" s="114"/>
      <c r="M136" s="30"/>
      <c r="N136" s="114"/>
      <c r="O136" s="30"/>
      <c r="P136" s="114"/>
      <c r="Q136" s="30"/>
      <c r="R136" s="114"/>
      <c r="S136" s="30"/>
      <c r="T136" s="114"/>
      <c r="U136" s="30"/>
      <c r="V136" s="114"/>
      <c r="W136" s="30"/>
      <c r="X136" s="114"/>
      <c r="Y136" s="30"/>
      <c r="Z136" s="114"/>
      <c r="AA136" s="30"/>
      <c r="AB136" s="38"/>
    </row>
    <row r="137" spans="1:28" s="165" customFormat="1">
      <c r="A137" s="11" t="s">
        <v>35</v>
      </c>
      <c r="B137" s="178">
        <v>16458207.41</v>
      </c>
      <c r="C137" s="178">
        <f>1520337.77+13.45</f>
        <v>1520351.22</v>
      </c>
      <c r="D137" s="114">
        <f>+C137/$B137</f>
        <v>9.2376477105048219E-2</v>
      </c>
      <c r="E137" s="178">
        <v>1418878.41</v>
      </c>
      <c r="F137" s="114">
        <f>+E137/$B137</f>
        <v>8.6210993375736039E-2</v>
      </c>
      <c r="G137" s="178">
        <v>1397963.13</v>
      </c>
      <c r="H137" s="114">
        <f>+G137/$B137</f>
        <v>8.4940181829923841E-2</v>
      </c>
      <c r="I137" s="178">
        <v>1142702.18</v>
      </c>
      <c r="J137" s="114"/>
      <c r="K137" s="176">
        <v>1049662.1299999999</v>
      </c>
      <c r="L137" s="114">
        <f>+K137/$B137</f>
        <v>6.3777427507823586E-2</v>
      </c>
      <c r="M137" s="178">
        <v>1149858.6499999999</v>
      </c>
      <c r="N137" s="114">
        <f>+M137/$B137</f>
        <v>6.9865363909640987E-2</v>
      </c>
      <c r="O137" s="178">
        <v>1104737.6299999999</v>
      </c>
      <c r="P137" s="114">
        <f>+O137/$B137</f>
        <v>6.7123812604813926E-2</v>
      </c>
      <c r="Q137" s="178">
        <v>1101196.25</v>
      </c>
      <c r="R137" s="114">
        <f>+Q137/$B137</f>
        <v>6.6908638502812506E-2</v>
      </c>
      <c r="S137" s="178">
        <v>1336987.3999999999</v>
      </c>
      <c r="T137" s="114">
        <f>+S137/$B137</f>
        <v>8.123529900271198E-2</v>
      </c>
      <c r="U137" s="178">
        <v>1752629.04</v>
      </c>
      <c r="V137" s="114">
        <f>+U137/$B137</f>
        <v>0.10648966781978354</v>
      </c>
      <c r="W137" s="178">
        <v>1668929.25</v>
      </c>
      <c r="X137" s="114">
        <f>+W137/$B137</f>
        <v>0.10140407204893769</v>
      </c>
      <c r="Y137" s="178">
        <v>1814325.57</v>
      </c>
      <c r="Z137" s="114">
        <f>+Y137/$B137</f>
        <v>0.11023834642511654</v>
      </c>
      <c r="AA137" s="30">
        <f>+C137+E137+G137+I137+K137+M137+O137+Q137+S137+U137+W137+Y137</f>
        <v>16458220.859999999</v>
      </c>
      <c r="AB137" s="38">
        <f>+AA137/$B137</f>
        <v>1.0000008172214425</v>
      </c>
    </row>
    <row r="138" spans="1:28" s="165" customFormat="1">
      <c r="A138" s="177" t="s">
        <v>56</v>
      </c>
      <c r="B138" s="44">
        <f>SUM(B139:B143)</f>
        <v>0</v>
      </c>
      <c r="C138" s="44">
        <f>SUM(C139:C143)</f>
        <v>0</v>
      </c>
      <c r="D138" s="45"/>
      <c r="E138" s="44">
        <f>SUM(E139:E143)</f>
        <v>0</v>
      </c>
      <c r="F138" s="42"/>
      <c r="G138" s="44">
        <f>SUM(G139:G143)</f>
        <v>0</v>
      </c>
      <c r="H138" s="42"/>
      <c r="I138" s="44">
        <f>SUM(I139:I143)</f>
        <v>0</v>
      </c>
      <c r="J138" s="42"/>
      <c r="K138" s="44">
        <f>SUM(K139:K143)</f>
        <v>0</v>
      </c>
      <c r="L138" s="42"/>
      <c r="M138" s="44">
        <f>SUM(M139:M143)</f>
        <v>0</v>
      </c>
      <c r="N138" s="42"/>
      <c r="O138" s="44">
        <f>SUM(O139:O143)</f>
        <v>0</v>
      </c>
      <c r="P138" s="42"/>
      <c r="Q138" s="44">
        <f>SUM(Q139:Q143)</f>
        <v>0</v>
      </c>
      <c r="R138" s="42"/>
      <c r="S138" s="44">
        <f>SUM(S139:S143)</f>
        <v>0</v>
      </c>
      <c r="T138" s="42"/>
      <c r="U138" s="44">
        <f>SUM(U139:U143)</f>
        <v>0</v>
      </c>
      <c r="V138" s="42"/>
      <c r="W138" s="44">
        <f>SUM(W139:W143)</f>
        <v>0</v>
      </c>
      <c r="X138" s="42"/>
      <c r="Y138" s="44">
        <f>SUM(Y139:Y143)</f>
        <v>0</v>
      </c>
      <c r="Z138" s="42"/>
      <c r="AA138" s="44">
        <f>+C138+E138+G138+I138+K138+M138+O138+Q138+S138+U138+W138+Y138</f>
        <v>0</v>
      </c>
      <c r="AB138" s="42"/>
    </row>
    <row r="139" spans="1:28" s="165" customFormat="1">
      <c r="A139" s="11" t="s">
        <v>47</v>
      </c>
      <c r="B139" s="28"/>
      <c r="C139" s="30"/>
      <c r="D139" s="34"/>
      <c r="E139" s="28"/>
      <c r="F139" s="38"/>
      <c r="G139" s="28"/>
      <c r="H139" s="38"/>
      <c r="I139" s="28"/>
      <c r="J139" s="38"/>
      <c r="K139" s="28"/>
      <c r="L139" s="38"/>
      <c r="M139" s="28"/>
      <c r="N139" s="38"/>
      <c r="O139" s="28"/>
      <c r="P139" s="38"/>
      <c r="Q139" s="28"/>
      <c r="R139" s="38"/>
      <c r="S139" s="28"/>
      <c r="T139" s="38"/>
      <c r="U139" s="28"/>
      <c r="V139" s="38"/>
      <c r="W139" s="28"/>
      <c r="X139" s="38"/>
      <c r="Y139" s="28"/>
      <c r="Z139" s="38"/>
      <c r="AA139" s="30"/>
      <c r="AB139" s="38"/>
    </row>
    <row r="140" spans="1:28" s="165" customFormat="1">
      <c r="A140" s="11" t="s">
        <v>48</v>
      </c>
      <c r="B140" s="28"/>
      <c r="C140" s="28"/>
      <c r="D140" s="34"/>
      <c r="E140" s="28"/>
      <c r="F140" s="38"/>
      <c r="G140" s="28"/>
      <c r="H140" s="38"/>
      <c r="I140" s="28"/>
      <c r="J140" s="38"/>
      <c r="K140" s="28"/>
      <c r="L140" s="38"/>
      <c r="M140" s="28"/>
      <c r="N140" s="38"/>
      <c r="O140" s="28"/>
      <c r="P140" s="38"/>
      <c r="Q140" s="28"/>
      <c r="R140" s="38"/>
      <c r="S140" s="28"/>
      <c r="T140" s="38"/>
      <c r="U140" s="28"/>
      <c r="V140" s="38"/>
      <c r="W140" s="28"/>
      <c r="X140" s="38"/>
      <c r="Y140" s="28"/>
      <c r="Z140" s="38"/>
      <c r="AA140" s="30"/>
      <c r="AB140" s="38"/>
    </row>
    <row r="141" spans="1:28" s="165" customFormat="1">
      <c r="A141" s="11" t="s">
        <v>33</v>
      </c>
      <c r="B141" s="28">
        <v>0</v>
      </c>
      <c r="C141" s="28"/>
      <c r="D141" s="34">
        <v>0</v>
      </c>
      <c r="E141" s="28"/>
      <c r="F141" s="38"/>
      <c r="G141" s="28"/>
      <c r="H141" s="38"/>
      <c r="I141" s="28"/>
      <c r="J141" s="38"/>
      <c r="K141" s="28"/>
      <c r="L141" s="38"/>
      <c r="M141" s="28"/>
      <c r="N141" s="38"/>
      <c r="O141" s="28"/>
      <c r="P141" s="38"/>
      <c r="Q141" s="28"/>
      <c r="R141" s="38"/>
      <c r="S141" s="28"/>
      <c r="T141" s="38"/>
      <c r="U141" s="28">
        <v>0</v>
      </c>
      <c r="V141" s="38"/>
      <c r="W141" s="28">
        <v>0</v>
      </c>
      <c r="X141" s="38"/>
      <c r="Y141" s="28">
        <v>0</v>
      </c>
      <c r="Z141" s="38"/>
      <c r="AA141" s="30">
        <f>+C141+E141+G141+I141+K141+M141+O141+Q141+S141+U141+W141+Y141</f>
        <v>0</v>
      </c>
      <c r="AB141" s="38"/>
    </row>
    <row r="142" spans="1:28" s="165" customFormat="1">
      <c r="A142" s="11" t="s">
        <v>49</v>
      </c>
      <c r="B142" s="28">
        <v>0</v>
      </c>
      <c r="C142" s="28">
        <v>0</v>
      </c>
      <c r="D142" s="34"/>
      <c r="E142" s="28">
        <v>0</v>
      </c>
      <c r="F142" s="38"/>
      <c r="G142" s="28">
        <v>0</v>
      </c>
      <c r="H142" s="38"/>
      <c r="I142" s="28">
        <v>0</v>
      </c>
      <c r="J142" s="38"/>
      <c r="K142" s="28">
        <v>0</v>
      </c>
      <c r="L142" s="38"/>
      <c r="M142" s="28">
        <v>0</v>
      </c>
      <c r="N142" s="38"/>
      <c r="O142" s="28">
        <v>0</v>
      </c>
      <c r="P142" s="38"/>
      <c r="Q142" s="28">
        <v>0</v>
      </c>
      <c r="R142" s="38"/>
      <c r="S142" s="28">
        <v>0</v>
      </c>
      <c r="T142" s="38"/>
      <c r="U142" s="28">
        <v>0</v>
      </c>
      <c r="V142" s="38"/>
      <c r="W142" s="28">
        <v>0</v>
      </c>
      <c r="X142" s="38"/>
      <c r="Y142" s="28">
        <v>0</v>
      </c>
      <c r="Z142" s="38"/>
      <c r="AA142" s="30">
        <f>+C142+E142+G142+I142+K142+M142+O142+Q142+S142+U142+W142+Y142</f>
        <v>0</v>
      </c>
      <c r="AB142" s="38"/>
    </row>
    <row r="143" spans="1:28" s="165" customFormat="1">
      <c r="A143" s="11" t="s">
        <v>34</v>
      </c>
      <c r="B143" s="28">
        <v>0</v>
      </c>
      <c r="C143" s="28">
        <v>0</v>
      </c>
      <c r="D143" s="34"/>
      <c r="E143" s="28">
        <v>0</v>
      </c>
      <c r="F143" s="38"/>
      <c r="G143" s="28">
        <v>0</v>
      </c>
      <c r="H143" s="38"/>
      <c r="I143" s="28">
        <v>0</v>
      </c>
      <c r="J143" s="38"/>
      <c r="K143" s="28">
        <v>0</v>
      </c>
      <c r="L143" s="38"/>
      <c r="M143" s="28">
        <v>0</v>
      </c>
      <c r="N143" s="38"/>
      <c r="O143" s="28">
        <v>0</v>
      </c>
      <c r="P143" s="38"/>
      <c r="Q143" s="28">
        <v>0</v>
      </c>
      <c r="R143" s="38"/>
      <c r="S143" s="28">
        <v>0</v>
      </c>
      <c r="T143" s="38"/>
      <c r="U143" s="28">
        <v>0</v>
      </c>
      <c r="V143" s="38"/>
      <c r="W143" s="28">
        <v>0</v>
      </c>
      <c r="X143" s="38"/>
      <c r="Y143" s="28">
        <v>0</v>
      </c>
      <c r="Z143" s="38"/>
      <c r="AA143" s="30">
        <f>+C143+E143+G143+I143+K143+M143+O143+Q143+S143+U143+W143+Y143</f>
        <v>0</v>
      </c>
      <c r="AB143" s="38"/>
    </row>
    <row r="144" spans="1:28" s="165" customFormat="1">
      <c r="A144" s="39" t="s">
        <v>16</v>
      </c>
      <c r="B144" s="46">
        <f t="shared" ref="B144:Z144" si="23">+B129+B138</f>
        <v>137818609.65000001</v>
      </c>
      <c r="C144" s="46">
        <f t="shared" si="23"/>
        <v>44388549.349999994</v>
      </c>
      <c r="D144" s="40">
        <f t="shared" si="23"/>
        <v>0.32207950336117758</v>
      </c>
      <c r="E144" s="46">
        <f t="shared" si="23"/>
        <v>16728266.800000001</v>
      </c>
      <c r="F144" s="40">
        <f t="shared" si="23"/>
        <v>0.1213788677921117</v>
      </c>
      <c r="G144" s="46">
        <f t="shared" si="23"/>
        <v>12141907.009999998</v>
      </c>
      <c r="H144" s="40">
        <f t="shared" si="23"/>
        <v>8.8100634891290955E-2</v>
      </c>
      <c r="I144" s="46">
        <f t="shared" si="23"/>
        <v>8815914.5700000003</v>
      </c>
      <c r="J144" s="40">
        <f t="shared" si="23"/>
        <v>6.3967519280513946E-2</v>
      </c>
      <c r="K144" s="46">
        <f t="shared" si="23"/>
        <v>5732863.1799999997</v>
      </c>
      <c r="L144" s="40">
        <f t="shared" si="23"/>
        <v>4.1597163072236806E-2</v>
      </c>
      <c r="M144" s="46">
        <f t="shared" si="23"/>
        <v>5515976.9299999997</v>
      </c>
      <c r="N144" s="40">
        <f t="shared" si="23"/>
        <v>4.0023455061752609E-2</v>
      </c>
      <c r="O144" s="46">
        <f t="shared" si="23"/>
        <v>6234518.0599999996</v>
      </c>
      <c r="P144" s="40">
        <f t="shared" si="23"/>
        <v>4.5237127814835701E-2</v>
      </c>
      <c r="Q144" s="46">
        <f t="shared" si="23"/>
        <v>5041391.83</v>
      </c>
      <c r="R144" s="40">
        <f t="shared" si="23"/>
        <v>3.6579906318914168E-2</v>
      </c>
      <c r="S144" s="46">
        <f t="shared" si="23"/>
        <v>5636256.2200000007</v>
      </c>
      <c r="T144" s="40">
        <f t="shared" si="23"/>
        <v>4.0896191264109163E-2</v>
      </c>
      <c r="U144" s="46">
        <f t="shared" si="23"/>
        <v>7108029.3400000008</v>
      </c>
      <c r="V144" s="40">
        <f t="shared" si="23"/>
        <v>5.1575250672252014E-2</v>
      </c>
      <c r="W144" s="46">
        <f t="shared" si="23"/>
        <v>7483787.4500000011</v>
      </c>
      <c r="X144" s="40">
        <f t="shared" si="23"/>
        <v>5.4301719259870658E-2</v>
      </c>
      <c r="Y144" s="46">
        <f t="shared" si="23"/>
        <v>12991148.91</v>
      </c>
      <c r="Z144" s="40">
        <f t="shared" si="23"/>
        <v>9.4262661210934656E-2</v>
      </c>
      <c r="AA144" s="46">
        <f>+C144+E144+G144+I144+K144+M144+O144+Q144+S144+U144+W144+Y144</f>
        <v>137818609.65000001</v>
      </c>
      <c r="AB144" s="40">
        <f>+AA144/B144</f>
        <v>1</v>
      </c>
    </row>
    <row r="145" spans="1:28" s="165" customFormat="1">
      <c r="B145" s="36"/>
    </row>
    <row r="146" spans="1:28" s="165" customFormat="1">
      <c r="B146" s="36"/>
    </row>
    <row r="147" spans="1:28" s="165" customFormat="1" ht="18">
      <c r="A147" s="263" t="s">
        <v>0</v>
      </c>
      <c r="B147" s="263"/>
      <c r="C147" s="263"/>
      <c r="D147" s="263"/>
      <c r="E147" s="263"/>
      <c r="F147" s="263"/>
      <c r="G147" s="263"/>
      <c r="H147" s="263"/>
      <c r="I147" s="263"/>
      <c r="J147" s="263"/>
      <c r="K147" s="263"/>
      <c r="L147" s="263"/>
      <c r="M147" s="263"/>
      <c r="N147" s="263"/>
      <c r="O147" s="263"/>
      <c r="P147" s="263"/>
      <c r="Q147" s="263"/>
      <c r="R147" s="263"/>
      <c r="S147" s="263"/>
      <c r="T147" s="263"/>
      <c r="U147" s="263"/>
      <c r="V147" s="263"/>
      <c r="W147" s="263"/>
      <c r="X147" s="263"/>
      <c r="Y147" s="263"/>
      <c r="Z147" s="263"/>
      <c r="AA147" s="263"/>
      <c r="AB147" s="263"/>
    </row>
    <row r="148" spans="1:28" s="165" customFormat="1" ht="18">
      <c r="A148" s="263" t="s">
        <v>89</v>
      </c>
      <c r="B148" s="263"/>
      <c r="C148" s="263"/>
      <c r="D148" s="263"/>
      <c r="E148" s="263"/>
      <c r="F148" s="263"/>
      <c r="G148" s="263"/>
      <c r="H148" s="263"/>
      <c r="I148" s="263"/>
      <c r="J148" s="263"/>
      <c r="K148" s="263"/>
      <c r="L148" s="263"/>
      <c r="M148" s="263"/>
      <c r="N148" s="263"/>
      <c r="O148" s="263"/>
      <c r="P148" s="263"/>
      <c r="Q148" s="263"/>
      <c r="R148" s="263"/>
      <c r="S148" s="263"/>
      <c r="T148" s="263"/>
      <c r="U148" s="263"/>
      <c r="V148" s="263"/>
      <c r="W148" s="263"/>
      <c r="X148" s="263"/>
      <c r="Y148" s="263"/>
      <c r="Z148" s="263"/>
      <c r="AA148" s="263"/>
      <c r="AB148" s="263"/>
    </row>
    <row r="149" spans="1:28" s="165" customFormat="1" ht="18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</row>
    <row r="150" spans="1:28" s="165" customFormat="1">
      <c r="A150" s="35"/>
      <c r="B150" s="35"/>
      <c r="C150" s="270" t="s">
        <v>60</v>
      </c>
      <c r="D150" s="271"/>
      <c r="E150" s="271"/>
      <c r="F150" s="271"/>
      <c r="G150" s="271"/>
      <c r="H150" s="271"/>
      <c r="I150" s="271"/>
      <c r="J150" s="271"/>
      <c r="K150" s="271"/>
      <c r="L150" s="271"/>
      <c r="M150" s="271"/>
      <c r="N150" s="271"/>
      <c r="O150" s="271"/>
      <c r="P150" s="271"/>
      <c r="Q150" s="271"/>
      <c r="R150" s="271"/>
      <c r="S150" s="271"/>
      <c r="T150" s="271"/>
      <c r="U150" s="271"/>
      <c r="V150" s="271"/>
      <c r="W150" s="271"/>
      <c r="X150" s="271"/>
      <c r="Y150" s="271"/>
      <c r="Z150" s="272"/>
      <c r="AA150" s="27"/>
      <c r="AB150" s="27"/>
    </row>
    <row r="151" spans="1:28" s="165" customFormat="1">
      <c r="A151" s="264" t="s">
        <v>50</v>
      </c>
      <c r="B151" s="266" t="s">
        <v>57</v>
      </c>
      <c r="C151" s="267" t="s">
        <v>2</v>
      </c>
      <c r="D151" s="267"/>
      <c r="E151" s="267" t="s">
        <v>3</v>
      </c>
      <c r="F151" s="267"/>
      <c r="G151" s="267" t="s">
        <v>4</v>
      </c>
      <c r="H151" s="267"/>
      <c r="I151" s="267" t="s">
        <v>5</v>
      </c>
      <c r="J151" s="267"/>
      <c r="K151" s="267" t="s">
        <v>6</v>
      </c>
      <c r="L151" s="267"/>
      <c r="M151" s="267" t="s">
        <v>7</v>
      </c>
      <c r="N151" s="267"/>
      <c r="O151" s="267" t="s">
        <v>8</v>
      </c>
      <c r="P151" s="267"/>
      <c r="Q151" s="267" t="s">
        <v>9</v>
      </c>
      <c r="R151" s="267"/>
      <c r="S151" s="267" t="s">
        <v>10</v>
      </c>
      <c r="T151" s="267"/>
      <c r="U151" s="267" t="s">
        <v>11</v>
      </c>
      <c r="V151" s="267"/>
      <c r="W151" s="267" t="s">
        <v>12</v>
      </c>
      <c r="X151" s="267"/>
      <c r="Y151" s="267" t="s">
        <v>13</v>
      </c>
      <c r="Z151" s="267"/>
      <c r="AA151" s="267" t="s">
        <v>14</v>
      </c>
      <c r="AB151" s="267"/>
    </row>
    <row r="152" spans="1:28" s="165" customFormat="1">
      <c r="A152" s="265"/>
      <c r="B152" s="266"/>
      <c r="C152" s="3" t="s">
        <v>1</v>
      </c>
      <c r="D152" s="3" t="s">
        <v>15</v>
      </c>
      <c r="E152" s="3" t="s">
        <v>1</v>
      </c>
      <c r="F152" s="3"/>
      <c r="G152" s="3" t="s">
        <v>1</v>
      </c>
      <c r="H152" s="3"/>
      <c r="I152" s="3" t="s">
        <v>1</v>
      </c>
      <c r="J152" s="3" t="s">
        <v>15</v>
      </c>
      <c r="K152" s="3" t="s">
        <v>1</v>
      </c>
      <c r="L152" s="3" t="s">
        <v>15</v>
      </c>
      <c r="M152" s="3" t="s">
        <v>1</v>
      </c>
      <c r="N152" s="3" t="s">
        <v>15</v>
      </c>
      <c r="O152" s="3" t="s">
        <v>1</v>
      </c>
      <c r="P152" s="3" t="s">
        <v>15</v>
      </c>
      <c r="Q152" s="3" t="s">
        <v>1</v>
      </c>
      <c r="R152" s="3" t="s">
        <v>15</v>
      </c>
      <c r="S152" s="3" t="s">
        <v>1</v>
      </c>
      <c r="T152" s="3" t="s">
        <v>15</v>
      </c>
      <c r="U152" s="3" t="s">
        <v>1</v>
      </c>
      <c r="V152" s="3" t="s">
        <v>15</v>
      </c>
      <c r="W152" s="3" t="s">
        <v>1</v>
      </c>
      <c r="X152" s="3" t="s">
        <v>15</v>
      </c>
      <c r="Y152" s="3" t="s">
        <v>1</v>
      </c>
      <c r="Z152" s="3" t="s">
        <v>15</v>
      </c>
      <c r="AA152" s="3" t="s">
        <v>1</v>
      </c>
      <c r="AB152" s="3" t="s">
        <v>15</v>
      </c>
    </row>
    <row r="153" spans="1:28" s="165" customFormat="1">
      <c r="A153" s="41" t="s">
        <v>28</v>
      </c>
      <c r="B153" s="44">
        <f>SUM(B154:B161)</f>
        <v>192675492.38999999</v>
      </c>
      <c r="C153" s="44">
        <f>SUM(C154:C161)</f>
        <v>37100816.340000004</v>
      </c>
      <c r="D153" s="42">
        <f>+C153/$B153</f>
        <v>0.19255597003952729</v>
      </c>
      <c r="E153" s="44">
        <f>SUM(E154:E161)</f>
        <v>24369239.870000001</v>
      </c>
      <c r="F153" s="42">
        <f>+E153/$B153</f>
        <v>0.12647815021888473</v>
      </c>
      <c r="G153" s="44">
        <f>SUM(G154:G161)</f>
        <v>15690231.309999999</v>
      </c>
      <c r="H153" s="42">
        <f>+G153/$B153</f>
        <v>8.1433456405763077E-2</v>
      </c>
      <c r="I153" s="44">
        <f>SUM(I154:I161)</f>
        <v>9303275.0700000003</v>
      </c>
      <c r="J153" s="42">
        <f>+I153/$B153</f>
        <v>4.8284682990034737E-2</v>
      </c>
      <c r="K153" s="44">
        <f>SUM(K154:K161)</f>
        <v>6343944.8500000006</v>
      </c>
      <c r="L153" s="42">
        <f>+K153/$B153</f>
        <v>3.2925541132958619E-2</v>
      </c>
      <c r="M153" s="44">
        <f>SUM(M154:M161)</f>
        <v>6456238.7999999998</v>
      </c>
      <c r="N153" s="42">
        <f>+M153/$B153</f>
        <v>3.3508355006207753E-2</v>
      </c>
      <c r="O153" s="44">
        <f>SUM(O154:O161)</f>
        <v>7207398.5599999996</v>
      </c>
      <c r="P153" s="42">
        <f>+O153/$B153</f>
        <v>3.7406929498907407E-2</v>
      </c>
      <c r="Q153" s="44">
        <f>SUM(Q154:Q161)</f>
        <v>7845861.7100000009</v>
      </c>
      <c r="R153" s="42">
        <f>+Q153/$B153</f>
        <v>4.0720600283293773E-2</v>
      </c>
      <c r="S153" s="44">
        <f>SUM(S154:S161)</f>
        <v>6846757.7400000002</v>
      </c>
      <c r="T153" s="42">
        <f>+S153/$B153</f>
        <v>3.5535177074525297E-2</v>
      </c>
      <c r="U153" s="44">
        <f>SUM(U154:U161)</f>
        <v>6298142.4000000004</v>
      </c>
      <c r="V153" s="42">
        <f>+U153/$B153</f>
        <v>3.2687823043170174E-2</v>
      </c>
      <c r="W153" s="44">
        <f>SUM(W154:W161)</f>
        <v>6576591.5900000008</v>
      </c>
      <c r="X153" s="42">
        <f>+W153/$B153</f>
        <v>3.4132994852755498E-2</v>
      </c>
      <c r="Y153" s="44">
        <f>SUM(Y154:Y161)</f>
        <v>12610066.999999998</v>
      </c>
      <c r="Z153" s="42">
        <f>+Y153/$B153</f>
        <v>6.5447176719681616E-2</v>
      </c>
      <c r="AA153" s="44">
        <f>+C153+E153+G153+I153+K153+M153+O153+Q153+S153+U153+W153+Y153</f>
        <v>146648565.23999998</v>
      </c>
      <c r="AB153" s="42">
        <f>+AA153/$B153</f>
        <v>0.76111685726570988</v>
      </c>
    </row>
    <row r="154" spans="1:28" s="165" customFormat="1">
      <c r="A154" s="11" t="s">
        <v>42</v>
      </c>
      <c r="B154" s="28"/>
      <c r="C154" s="28"/>
      <c r="D154" s="38"/>
      <c r="E154" s="28"/>
      <c r="F154" s="38"/>
      <c r="G154" s="28"/>
      <c r="H154" s="38"/>
      <c r="I154" s="30"/>
      <c r="J154" s="38"/>
      <c r="K154" s="28"/>
      <c r="L154" s="38"/>
      <c r="M154" s="28"/>
      <c r="N154" s="38"/>
      <c r="O154" s="30"/>
      <c r="P154" s="38"/>
      <c r="Q154" s="28"/>
      <c r="R154" s="38"/>
      <c r="S154" s="28"/>
      <c r="T154" s="38"/>
      <c r="U154" s="30"/>
      <c r="V154" s="38"/>
      <c r="W154" s="28"/>
      <c r="X154" s="38"/>
      <c r="Y154" s="28"/>
      <c r="Z154" s="38"/>
      <c r="AA154" s="30"/>
      <c r="AB154" s="38"/>
    </row>
    <row r="155" spans="1:28" s="165" customFormat="1">
      <c r="A155" s="11" t="s">
        <v>31</v>
      </c>
      <c r="B155" s="178">
        <v>146648566.24000001</v>
      </c>
      <c r="C155" s="178">
        <v>32320170.73</v>
      </c>
      <c r="D155" s="114">
        <f>+C155/$B155</f>
        <v>0.22039199944925419</v>
      </c>
      <c r="E155" s="178">
        <v>19987312.350000001</v>
      </c>
      <c r="F155" s="114">
        <f>+E155/$B155</f>
        <v>0.13629394996804436</v>
      </c>
      <c r="G155" s="178">
        <v>11011963.59</v>
      </c>
      <c r="H155" s="114">
        <f>+G155/$B155</f>
        <v>7.5090837042199224E-2</v>
      </c>
      <c r="I155" s="178">
        <v>5871140.7999999998</v>
      </c>
      <c r="J155" s="114">
        <f>+I155/$B155</f>
        <v>4.003544630904534E-2</v>
      </c>
      <c r="K155" s="178">
        <v>3081372.37</v>
      </c>
      <c r="L155" s="114">
        <f>+K155/$B155</f>
        <v>2.1011950194979281E-2</v>
      </c>
      <c r="M155" s="178">
        <v>2964056.62</v>
      </c>
      <c r="N155" s="114">
        <f>+M155/$B155</f>
        <v>2.0211971354354239E-2</v>
      </c>
      <c r="O155" s="178">
        <v>3369644.96</v>
      </c>
      <c r="P155" s="114">
        <f>+O155/$B155</f>
        <v>2.2977687722397194E-2</v>
      </c>
      <c r="Q155" s="178">
        <v>4037578.48</v>
      </c>
      <c r="R155" s="114">
        <f>+Q155/$B155</f>
        <v>2.7532342003209479E-2</v>
      </c>
      <c r="S155" s="178">
        <v>3044376.52</v>
      </c>
      <c r="T155" s="114">
        <f>+S155/$B155</f>
        <v>2.075967462932899E-2</v>
      </c>
      <c r="U155" s="178">
        <v>2779528.66</v>
      </c>
      <c r="V155" s="114">
        <f>+U155/$B155</f>
        <v>1.8953670883158306E-2</v>
      </c>
      <c r="W155" s="178">
        <v>3118052.24</v>
      </c>
      <c r="X155" s="114">
        <f>+W155/$B155</f>
        <v>2.126207108562591E-2</v>
      </c>
      <c r="Y155" s="178">
        <v>9036436.7699999996</v>
      </c>
      <c r="Z155" s="114">
        <f>+Y155/$B155</f>
        <v>6.161967349350881E-2</v>
      </c>
      <c r="AA155" s="30">
        <f>+C155+E155+G155+I155+K155+M155+O155+Q155+S155+U155+W155+Y155</f>
        <v>100621634.08999999</v>
      </c>
      <c r="AB155" s="38">
        <f>+AA155/$B155</f>
        <v>0.68614127413510528</v>
      </c>
    </row>
    <row r="156" spans="1:28" s="165" customFormat="1">
      <c r="A156" s="11" t="s">
        <v>32</v>
      </c>
      <c r="B156" s="178">
        <v>4862233.17</v>
      </c>
      <c r="C156" s="178">
        <v>142418.14000000001</v>
      </c>
      <c r="D156" s="114">
        <f>+C156/$B156</f>
        <v>2.9290684963181234E-2</v>
      </c>
      <c r="E156" s="178">
        <v>157201.98000000001</v>
      </c>
      <c r="F156" s="114">
        <f>+E156/$B156</f>
        <v>3.2331230219467245E-2</v>
      </c>
      <c r="G156" s="178">
        <v>240267.79</v>
      </c>
      <c r="H156" s="114">
        <f>+G156/$B156</f>
        <v>4.9415110629093914E-2</v>
      </c>
      <c r="I156" s="178">
        <v>253087.5</v>
      </c>
      <c r="J156" s="114">
        <f>+I156/$B156</f>
        <v>5.2051699528017491E-2</v>
      </c>
      <c r="K156" s="178">
        <v>323417.63</v>
      </c>
      <c r="L156" s="114">
        <f>+K156/$B156</f>
        <v>6.651627322101461E-2</v>
      </c>
      <c r="M156" s="178">
        <v>365851.8</v>
      </c>
      <c r="N156" s="114">
        <f>+M156/$B156</f>
        <v>7.5243573726021043E-2</v>
      </c>
      <c r="O156" s="178">
        <v>416225.69</v>
      </c>
      <c r="P156" s="114">
        <f>+O156/$B156</f>
        <v>8.5603811139316463E-2</v>
      </c>
      <c r="Q156" s="178">
        <v>491264.93</v>
      </c>
      <c r="R156" s="114">
        <f>+Q156/$B156</f>
        <v>0.10103689247794753</v>
      </c>
      <c r="S156" s="178">
        <v>497893.18</v>
      </c>
      <c r="T156" s="114">
        <f>+S156/$B156</f>
        <v>0.10240010353102831</v>
      </c>
      <c r="U156" s="178">
        <v>533125.6</v>
      </c>
      <c r="V156" s="114">
        <f>+U156/$B156</f>
        <v>0.10964624306571459</v>
      </c>
      <c r="W156" s="178">
        <v>634617.86</v>
      </c>
      <c r="X156" s="114">
        <f>+W156/$B156</f>
        <v>0.13051983272122675</v>
      </c>
      <c r="Y156" s="178">
        <v>806867.07</v>
      </c>
      <c r="Z156" s="114">
        <f>+Y156/$B156</f>
        <v>0.16594577877884864</v>
      </c>
      <c r="AA156" s="30">
        <f>+C156+E156+G156+I156+K156+M156+O156+Q156+S156+U156+W156+Y156</f>
        <v>4862239.17</v>
      </c>
      <c r="AB156" s="38">
        <f>+AA156/$B156</f>
        <v>1.0000012340008779</v>
      </c>
    </row>
    <row r="157" spans="1:28" s="165" customFormat="1">
      <c r="A157" s="11" t="s">
        <v>43</v>
      </c>
      <c r="B157" s="30"/>
      <c r="C157" s="30"/>
      <c r="D157" s="114"/>
      <c r="E157" s="30"/>
      <c r="F157" s="114"/>
      <c r="G157" s="30"/>
      <c r="H157" s="114"/>
      <c r="I157" s="30"/>
      <c r="J157" s="114"/>
      <c r="K157" s="30"/>
      <c r="L157" s="114"/>
      <c r="M157" s="30"/>
      <c r="N157" s="114"/>
      <c r="O157" s="30"/>
      <c r="P157" s="114"/>
      <c r="Q157" s="30"/>
      <c r="R157" s="114"/>
      <c r="S157" s="30"/>
      <c r="T157" s="114"/>
      <c r="U157" s="30"/>
      <c r="V157" s="114"/>
      <c r="W157" s="30"/>
      <c r="X157" s="114"/>
      <c r="Y157" s="30"/>
      <c r="Z157" s="114"/>
      <c r="AA157" s="30"/>
      <c r="AB157" s="38"/>
    </row>
    <row r="158" spans="1:28" s="165" customFormat="1">
      <c r="A158" s="11" t="s">
        <v>44</v>
      </c>
      <c r="B158" s="30"/>
      <c r="C158" s="30"/>
      <c r="D158" s="114"/>
      <c r="E158" s="30"/>
      <c r="F158" s="114"/>
      <c r="G158" s="30"/>
      <c r="H158" s="114"/>
      <c r="I158" s="30"/>
      <c r="J158" s="114"/>
      <c r="K158" s="30"/>
      <c r="L158" s="114"/>
      <c r="M158" s="30"/>
      <c r="N158" s="114"/>
      <c r="O158" s="30"/>
      <c r="P158" s="114"/>
      <c r="Q158" s="30"/>
      <c r="R158" s="114"/>
      <c r="S158" s="30"/>
      <c r="T158" s="114"/>
      <c r="U158" s="30"/>
      <c r="V158" s="114"/>
      <c r="W158" s="30"/>
      <c r="X158" s="114"/>
      <c r="Y158" s="30"/>
      <c r="Z158" s="114"/>
      <c r="AA158" s="30"/>
      <c r="AB158" s="38"/>
    </row>
    <row r="159" spans="1:28" s="165" customFormat="1">
      <c r="A159" s="11" t="s">
        <v>45</v>
      </c>
      <c r="B159" s="178">
        <v>23481552.84</v>
      </c>
      <c r="C159" s="178">
        <v>3108639.26</v>
      </c>
      <c r="D159" s="114">
        <f>+C159/$B159</f>
        <v>0.13238644314461784</v>
      </c>
      <c r="E159" s="178">
        <v>2665256.9</v>
      </c>
      <c r="F159" s="114">
        <f>+E159/$B159</f>
        <v>0.11350428645672141</v>
      </c>
      <c r="G159" s="178">
        <v>2847168.59</v>
      </c>
      <c r="H159" s="114">
        <f>+G159/$B159</f>
        <v>0.1212512907217085</v>
      </c>
      <c r="I159" s="178">
        <v>1860637.59</v>
      </c>
      <c r="J159" s="114">
        <f>+I159/$B159</f>
        <v>7.923826855396332E-2</v>
      </c>
      <c r="K159" s="176">
        <v>1682791.11</v>
      </c>
      <c r="L159" s="114">
        <f>+K159/$B159</f>
        <v>7.1664387848039787E-2</v>
      </c>
      <c r="M159" s="178">
        <v>1817178.37</v>
      </c>
      <c r="N159" s="114">
        <f>+M159/$B159</f>
        <v>7.7387487206744723E-2</v>
      </c>
      <c r="O159" s="178">
        <v>2208766.2799999998</v>
      </c>
      <c r="P159" s="114">
        <f>+O159/$B159</f>
        <v>9.4063893263372431E-2</v>
      </c>
      <c r="Q159" s="178">
        <v>1844516.03</v>
      </c>
      <c r="R159" s="114">
        <f>+Q159/$B159</f>
        <v>7.85517057823336E-2</v>
      </c>
      <c r="S159" s="178">
        <v>1557974.79</v>
      </c>
      <c r="T159" s="114">
        <f>+S159/$B159</f>
        <v>6.6348882487279326E-2</v>
      </c>
      <c r="U159" s="178">
        <v>1396056.33</v>
      </c>
      <c r="V159" s="114">
        <f>+U159/$B159</f>
        <v>5.9453322338285361E-2</v>
      </c>
      <c r="W159" s="178">
        <v>1267785.46</v>
      </c>
      <c r="X159" s="114">
        <f>+W159/$B159</f>
        <v>5.3990699364667744E-2</v>
      </c>
      <c r="Y159" s="178">
        <v>1224782.1299999999</v>
      </c>
      <c r="Z159" s="114">
        <f>+Y159/$B159</f>
        <v>5.2159332832265953E-2</v>
      </c>
      <c r="AA159" s="30">
        <f>+C159+E159+G159+I159+K159+M159+O159+Q159+S159+U159+W159+Y159</f>
        <v>23481552.84</v>
      </c>
      <c r="AB159" s="38">
        <f>+AA159/$B159</f>
        <v>1</v>
      </c>
    </row>
    <row r="160" spans="1:28" s="165" customFormat="1">
      <c r="A160" s="11" t="s">
        <v>46</v>
      </c>
      <c r="B160" s="30"/>
      <c r="C160" s="30"/>
      <c r="D160" s="114"/>
      <c r="E160" s="30"/>
      <c r="F160" s="114"/>
      <c r="G160" s="30"/>
      <c r="H160" s="114"/>
      <c r="I160" s="30"/>
      <c r="J160" s="114"/>
      <c r="K160" s="30"/>
      <c r="L160" s="114"/>
      <c r="M160" s="30"/>
      <c r="N160" s="114"/>
      <c r="O160" s="30"/>
      <c r="P160" s="114"/>
      <c r="Q160" s="30"/>
      <c r="R160" s="114"/>
      <c r="S160" s="30"/>
      <c r="T160" s="114"/>
      <c r="U160" s="30"/>
      <c r="V160" s="114"/>
      <c r="W160" s="30"/>
      <c r="X160" s="114"/>
      <c r="Y160" s="30"/>
      <c r="Z160" s="114"/>
      <c r="AA160" s="30"/>
      <c r="AB160" s="38"/>
    </row>
    <row r="161" spans="1:28" s="165" customFormat="1">
      <c r="A161" s="11" t="s">
        <v>35</v>
      </c>
      <c r="B161" s="178">
        <v>17683140.140000001</v>
      </c>
      <c r="C161" s="178">
        <v>1529588.21</v>
      </c>
      <c r="D161" s="114">
        <f>+C161/$B161</f>
        <v>8.6499807041624216E-2</v>
      </c>
      <c r="E161" s="178">
        <v>1559468.64</v>
      </c>
      <c r="F161" s="114">
        <f>+E161/$B161</f>
        <v>8.8189576492266594E-2</v>
      </c>
      <c r="G161" s="178">
        <v>1590831.34</v>
      </c>
      <c r="H161" s="114">
        <f>+G161/$B161</f>
        <v>8.9963169855871536E-2</v>
      </c>
      <c r="I161" s="178">
        <v>1318409.18</v>
      </c>
      <c r="J161" s="114">
        <f>+I161/$B161</f>
        <v>7.4557412855520117E-2</v>
      </c>
      <c r="K161" s="176">
        <v>1256363.74</v>
      </c>
      <c r="L161" s="114">
        <f>+K161/$B161</f>
        <v>7.1048678574799781E-2</v>
      </c>
      <c r="M161" s="178">
        <v>1309152.01</v>
      </c>
      <c r="N161" s="114">
        <f>+M161/$B161</f>
        <v>7.4033910246441098E-2</v>
      </c>
      <c r="O161" s="178">
        <v>1212761.6299999999</v>
      </c>
      <c r="P161" s="114">
        <f>+O161/$B161</f>
        <v>6.8582933822748063E-2</v>
      </c>
      <c r="Q161" s="178">
        <v>1472502.27</v>
      </c>
      <c r="R161" s="114">
        <f>+Q161/$B161</f>
        <v>8.3271537653492808E-2</v>
      </c>
      <c r="S161" s="178">
        <v>1746513.25</v>
      </c>
      <c r="T161" s="114">
        <f>+S161/$B161</f>
        <v>9.8767144080327343E-2</v>
      </c>
      <c r="U161" s="178">
        <v>1589431.81</v>
      </c>
      <c r="V161" s="114">
        <f>+U161/$B161</f>
        <v>8.9884024976120552E-2</v>
      </c>
      <c r="W161" s="178">
        <v>1556136.03</v>
      </c>
      <c r="X161" s="114">
        <f>+W161/$B161</f>
        <v>8.8001113924328148E-2</v>
      </c>
      <c r="Y161" s="178">
        <v>1541981.03</v>
      </c>
      <c r="Z161" s="114">
        <f>+Y161/$B161</f>
        <v>8.7200633925417728E-2</v>
      </c>
      <c r="AA161" s="30">
        <f>+C161+E161+G161+I161+K161+M161+O161+Q161+S161+U161+W161+Y161</f>
        <v>17683139.140000001</v>
      </c>
      <c r="AB161" s="38">
        <f>+AA161/$B161</f>
        <v>0.99999994344895804</v>
      </c>
    </row>
    <row r="162" spans="1:28" s="165" customFormat="1">
      <c r="A162" s="177" t="s">
        <v>56</v>
      </c>
      <c r="B162" s="44">
        <f>SUM(B163:B167)</f>
        <v>0</v>
      </c>
      <c r="C162" s="44">
        <f>SUM(C163:C167)</f>
        <v>0</v>
      </c>
      <c r="D162" s="45"/>
      <c r="E162" s="44">
        <f>SUM(E163:E167)</f>
        <v>0</v>
      </c>
      <c r="F162" s="42"/>
      <c r="G162" s="44">
        <f>SUM(G163:G167)</f>
        <v>0</v>
      </c>
      <c r="H162" s="42"/>
      <c r="I162" s="44">
        <f>SUM(I163:I167)</f>
        <v>0</v>
      </c>
      <c r="J162" s="42"/>
      <c r="K162" s="44">
        <f>SUM(K163:K167)</f>
        <v>0</v>
      </c>
      <c r="L162" s="42"/>
      <c r="M162" s="44">
        <f>SUM(M163:M167)</f>
        <v>0</v>
      </c>
      <c r="N162" s="42"/>
      <c r="O162" s="44">
        <f>SUM(O163:O167)</f>
        <v>0</v>
      </c>
      <c r="P162" s="42"/>
      <c r="Q162" s="44">
        <f>SUM(Q163:Q167)</f>
        <v>0</v>
      </c>
      <c r="R162" s="42"/>
      <c r="S162" s="44">
        <f>SUM(S163:S167)</f>
        <v>0</v>
      </c>
      <c r="T162" s="42"/>
      <c r="U162" s="44">
        <f>SUM(U163:U167)</f>
        <v>0</v>
      </c>
      <c r="V162" s="42"/>
      <c r="W162" s="44">
        <f>SUM(W163:W167)</f>
        <v>0</v>
      </c>
      <c r="X162" s="42"/>
      <c r="Y162" s="44">
        <f>SUM(Y163:Y167)</f>
        <v>0</v>
      </c>
      <c r="Z162" s="42"/>
      <c r="AA162" s="44">
        <f>+C162+E162+G162+I162+K162+M162+O162+Q162+S162+U162+W162+Y162</f>
        <v>0</v>
      </c>
      <c r="AB162" s="42"/>
    </row>
    <row r="163" spans="1:28" s="165" customFormat="1">
      <c r="A163" s="11" t="s">
        <v>47</v>
      </c>
      <c r="B163" s="28"/>
      <c r="C163" s="30"/>
      <c r="D163" s="34"/>
      <c r="E163" s="28"/>
      <c r="F163" s="38"/>
      <c r="G163" s="28"/>
      <c r="H163" s="38"/>
      <c r="I163" s="28"/>
      <c r="J163" s="38"/>
      <c r="K163" s="28"/>
      <c r="L163" s="38"/>
      <c r="M163" s="28"/>
      <c r="N163" s="38"/>
      <c r="O163" s="28"/>
      <c r="P163" s="38"/>
      <c r="Q163" s="28"/>
      <c r="R163" s="38"/>
      <c r="S163" s="28"/>
      <c r="T163" s="38"/>
      <c r="U163" s="28"/>
      <c r="V163" s="38"/>
      <c r="W163" s="28"/>
      <c r="X163" s="38"/>
      <c r="Y163" s="28"/>
      <c r="Z163" s="38"/>
      <c r="AA163" s="30"/>
      <c r="AB163" s="38"/>
    </row>
    <row r="164" spans="1:28" s="165" customFormat="1">
      <c r="A164" s="11" t="s">
        <v>48</v>
      </c>
      <c r="B164" s="28"/>
      <c r="C164" s="28"/>
      <c r="D164" s="34"/>
      <c r="E164" s="28"/>
      <c r="F164" s="38"/>
      <c r="G164" s="28"/>
      <c r="H164" s="38"/>
      <c r="I164" s="28"/>
      <c r="J164" s="38"/>
      <c r="K164" s="28"/>
      <c r="L164" s="38"/>
      <c r="M164" s="28"/>
      <c r="N164" s="38"/>
      <c r="O164" s="28"/>
      <c r="P164" s="38"/>
      <c r="Q164" s="28"/>
      <c r="R164" s="38"/>
      <c r="S164" s="28"/>
      <c r="T164" s="38"/>
      <c r="U164" s="28"/>
      <c r="V164" s="38"/>
      <c r="W164" s="28"/>
      <c r="X164" s="38"/>
      <c r="Y164" s="28"/>
      <c r="Z164" s="38"/>
      <c r="AA164" s="30"/>
      <c r="AB164" s="38"/>
    </row>
    <row r="165" spans="1:28" s="165" customFormat="1">
      <c r="A165" s="11" t="s">
        <v>33</v>
      </c>
      <c r="B165" s="28">
        <v>0</v>
      </c>
      <c r="C165" s="28"/>
      <c r="D165" s="34">
        <v>0</v>
      </c>
      <c r="E165" s="28"/>
      <c r="F165" s="38"/>
      <c r="G165" s="28"/>
      <c r="H165" s="38"/>
      <c r="I165" s="28"/>
      <c r="J165" s="38"/>
      <c r="K165" s="28"/>
      <c r="L165" s="38"/>
      <c r="M165" s="28"/>
      <c r="N165" s="38"/>
      <c r="O165" s="28"/>
      <c r="P165" s="38"/>
      <c r="Q165" s="28"/>
      <c r="R165" s="38"/>
      <c r="S165" s="28"/>
      <c r="T165" s="38"/>
      <c r="U165" s="28">
        <v>0</v>
      </c>
      <c r="V165" s="38"/>
      <c r="W165" s="28">
        <v>0</v>
      </c>
      <c r="X165" s="38"/>
      <c r="Y165" s="28">
        <v>0</v>
      </c>
      <c r="Z165" s="38"/>
      <c r="AA165" s="30">
        <f>+C165+E165+G165+I165+K165+M165+O165+Q165+S165+U165+W165+Y165</f>
        <v>0</v>
      </c>
      <c r="AB165" s="38"/>
    </row>
    <row r="166" spans="1:28" s="165" customFormat="1">
      <c r="A166" s="11" t="s">
        <v>49</v>
      </c>
      <c r="B166" s="28">
        <v>0</v>
      </c>
      <c r="C166" s="28">
        <v>0</v>
      </c>
      <c r="D166" s="34"/>
      <c r="E166" s="28">
        <v>0</v>
      </c>
      <c r="F166" s="38"/>
      <c r="G166" s="28">
        <v>0</v>
      </c>
      <c r="H166" s="38"/>
      <c r="I166" s="28">
        <v>0</v>
      </c>
      <c r="J166" s="38"/>
      <c r="K166" s="28">
        <v>0</v>
      </c>
      <c r="L166" s="38"/>
      <c r="M166" s="28">
        <v>0</v>
      </c>
      <c r="N166" s="38"/>
      <c r="O166" s="28">
        <v>0</v>
      </c>
      <c r="P166" s="38"/>
      <c r="Q166" s="28">
        <v>0</v>
      </c>
      <c r="R166" s="38"/>
      <c r="S166" s="28">
        <v>0</v>
      </c>
      <c r="T166" s="38"/>
      <c r="U166" s="28">
        <v>0</v>
      </c>
      <c r="V166" s="38"/>
      <c r="W166" s="28">
        <v>0</v>
      </c>
      <c r="X166" s="38"/>
      <c r="Y166" s="28">
        <v>0</v>
      </c>
      <c r="Z166" s="38"/>
      <c r="AA166" s="30">
        <f>+C166+E166+G166+I166+K166+M166+O166+Q166+S166+U166+W166+Y166</f>
        <v>0</v>
      </c>
      <c r="AB166" s="38"/>
    </row>
    <row r="167" spans="1:28" s="165" customFormat="1">
      <c r="A167" s="11" t="s">
        <v>34</v>
      </c>
      <c r="B167" s="28">
        <v>0</v>
      </c>
      <c r="C167" s="28">
        <v>0</v>
      </c>
      <c r="D167" s="34"/>
      <c r="E167" s="28">
        <v>0</v>
      </c>
      <c r="F167" s="38"/>
      <c r="G167" s="28">
        <v>0</v>
      </c>
      <c r="H167" s="38"/>
      <c r="I167" s="28">
        <v>0</v>
      </c>
      <c r="J167" s="38"/>
      <c r="K167" s="28">
        <v>0</v>
      </c>
      <c r="L167" s="38"/>
      <c r="M167" s="28">
        <v>0</v>
      </c>
      <c r="N167" s="38"/>
      <c r="O167" s="28">
        <v>0</v>
      </c>
      <c r="P167" s="38"/>
      <c r="Q167" s="28">
        <v>0</v>
      </c>
      <c r="R167" s="38"/>
      <c r="S167" s="28">
        <v>0</v>
      </c>
      <c r="T167" s="38"/>
      <c r="U167" s="28">
        <v>0</v>
      </c>
      <c r="V167" s="38"/>
      <c r="W167" s="28">
        <v>0</v>
      </c>
      <c r="X167" s="38"/>
      <c r="Y167" s="28">
        <v>0</v>
      </c>
      <c r="Z167" s="38"/>
      <c r="AA167" s="30">
        <f>+C167+E167+G167+I167+K167+M167+O167+Q167+S167+U167+W167+Y167</f>
        <v>0</v>
      </c>
      <c r="AB167" s="38"/>
    </row>
    <row r="168" spans="1:28" s="165" customFormat="1">
      <c r="A168" s="39" t="s">
        <v>16</v>
      </c>
      <c r="B168" s="46">
        <f t="shared" ref="B168:Z168" si="24">+B153+B162</f>
        <v>192675492.38999999</v>
      </c>
      <c r="C168" s="46">
        <f t="shared" si="24"/>
        <v>37100816.340000004</v>
      </c>
      <c r="D168" s="40">
        <f t="shared" si="24"/>
        <v>0.19255597003952729</v>
      </c>
      <c r="E168" s="46">
        <f t="shared" si="24"/>
        <v>24369239.870000001</v>
      </c>
      <c r="F168" s="40">
        <f t="shared" si="24"/>
        <v>0.12647815021888473</v>
      </c>
      <c r="G168" s="46">
        <f t="shared" si="24"/>
        <v>15690231.309999999</v>
      </c>
      <c r="H168" s="40">
        <f t="shared" si="24"/>
        <v>8.1433456405763077E-2</v>
      </c>
      <c r="I168" s="46">
        <f t="shared" si="24"/>
        <v>9303275.0700000003</v>
      </c>
      <c r="J168" s="40">
        <f t="shared" si="24"/>
        <v>4.8284682990034737E-2</v>
      </c>
      <c r="K168" s="46">
        <f t="shared" si="24"/>
        <v>6343944.8500000006</v>
      </c>
      <c r="L168" s="40">
        <f t="shared" si="24"/>
        <v>3.2925541132958619E-2</v>
      </c>
      <c r="M168" s="46">
        <f t="shared" si="24"/>
        <v>6456238.7999999998</v>
      </c>
      <c r="N168" s="40">
        <f t="shared" si="24"/>
        <v>3.3508355006207753E-2</v>
      </c>
      <c r="O168" s="46">
        <f t="shared" si="24"/>
        <v>7207398.5599999996</v>
      </c>
      <c r="P168" s="40">
        <f t="shared" si="24"/>
        <v>3.7406929498907407E-2</v>
      </c>
      <c r="Q168" s="46">
        <f t="shared" si="24"/>
        <v>7845861.7100000009</v>
      </c>
      <c r="R168" s="40">
        <f t="shared" si="24"/>
        <v>4.0720600283293773E-2</v>
      </c>
      <c r="S168" s="46">
        <f t="shared" si="24"/>
        <v>6846757.7400000002</v>
      </c>
      <c r="T168" s="40">
        <f t="shared" si="24"/>
        <v>3.5535177074525297E-2</v>
      </c>
      <c r="U168" s="46">
        <f t="shared" si="24"/>
        <v>6298142.4000000004</v>
      </c>
      <c r="V168" s="40">
        <f t="shared" si="24"/>
        <v>3.2687823043170174E-2</v>
      </c>
      <c r="W168" s="46">
        <f t="shared" si="24"/>
        <v>6576591.5900000008</v>
      </c>
      <c r="X168" s="40">
        <f t="shared" si="24"/>
        <v>3.4132994852755498E-2</v>
      </c>
      <c r="Y168" s="46">
        <f t="shared" si="24"/>
        <v>12610066.999999998</v>
      </c>
      <c r="Z168" s="40">
        <f t="shared" si="24"/>
        <v>6.5447176719681616E-2</v>
      </c>
      <c r="AA168" s="46">
        <f>+C168+E168+G168+I168+K168+M168+O168+Q168+S168+U168+W168+Y168</f>
        <v>146648565.23999998</v>
      </c>
      <c r="AB168" s="40">
        <f>+AA168/B168</f>
        <v>0.76111685726570988</v>
      </c>
    </row>
    <row r="169" spans="1:28" s="165" customFormat="1">
      <c r="B169" s="36"/>
    </row>
    <row r="170" spans="1:28" s="165" customFormat="1">
      <c r="B170" s="36"/>
    </row>
    <row r="171" spans="1:28" s="165" customFormat="1">
      <c r="B171" s="36"/>
    </row>
    <row r="172" spans="1:28" s="165" customFormat="1">
      <c r="B172" s="36"/>
    </row>
    <row r="173" spans="1:28" s="165" customFormat="1">
      <c r="B173" s="36"/>
    </row>
    <row r="174" spans="1:28" s="165" customFormat="1">
      <c r="B174" s="36"/>
    </row>
    <row r="175" spans="1:28" s="165" customFormat="1">
      <c r="B175" s="36"/>
    </row>
    <row r="176" spans="1:28" s="165" customFormat="1">
      <c r="B176" s="36"/>
    </row>
    <row r="177" spans="1:30" s="165" customFormat="1">
      <c r="B177" s="36"/>
    </row>
    <row r="178" spans="1:30" s="165" customFormat="1">
      <c r="B178" s="36"/>
    </row>
    <row r="179" spans="1:30" s="165" customFormat="1">
      <c r="B179" s="36"/>
    </row>
    <row r="180" spans="1:30" s="165" customFormat="1">
      <c r="B180" s="36"/>
      <c r="AA180" s="118"/>
    </row>
    <row r="181" spans="1:30">
      <c r="B181" s="36"/>
      <c r="AA181" s="118"/>
    </row>
    <row r="183" spans="1:30" ht="18">
      <c r="A183" s="262" t="s">
        <v>0</v>
      </c>
      <c r="B183" s="262"/>
      <c r="C183" s="262"/>
      <c r="D183" s="262"/>
      <c r="E183" s="262"/>
      <c r="F183" s="262"/>
      <c r="G183" s="262"/>
      <c r="H183" s="262"/>
      <c r="I183" s="262"/>
      <c r="J183" s="262"/>
      <c r="K183" s="262"/>
      <c r="L183" s="262"/>
      <c r="M183" s="262"/>
      <c r="N183" s="262"/>
      <c r="O183" s="262"/>
      <c r="P183" s="262"/>
      <c r="Q183" s="262"/>
      <c r="R183" s="262"/>
      <c r="S183" s="262"/>
      <c r="T183" s="262"/>
      <c r="U183" s="262"/>
      <c r="V183" s="262"/>
      <c r="W183" s="262"/>
      <c r="X183" s="262"/>
      <c r="Y183" s="262"/>
      <c r="Z183" s="262"/>
      <c r="AA183" s="262"/>
      <c r="AB183" s="262"/>
    </row>
    <row r="184" spans="1:30" ht="18">
      <c r="A184" s="263" t="s">
        <v>90</v>
      </c>
      <c r="B184" s="263"/>
      <c r="C184" s="263"/>
      <c r="D184" s="263"/>
      <c r="E184" s="263"/>
      <c r="F184" s="263"/>
      <c r="G184" s="263"/>
      <c r="H184" s="263"/>
      <c r="I184" s="263"/>
      <c r="J184" s="263"/>
      <c r="K184" s="263"/>
      <c r="L184" s="263"/>
      <c r="M184" s="263"/>
      <c r="N184" s="263"/>
      <c r="O184" s="263"/>
      <c r="P184" s="263"/>
      <c r="Q184" s="263"/>
      <c r="R184" s="263"/>
      <c r="S184" s="263"/>
      <c r="T184" s="263"/>
      <c r="U184" s="263"/>
      <c r="V184" s="263"/>
      <c r="W184" s="263"/>
      <c r="X184" s="263"/>
      <c r="Y184" s="263"/>
      <c r="Z184" s="263"/>
      <c r="AA184" s="263"/>
      <c r="AB184" s="263"/>
    </row>
    <row r="185" spans="1:30">
      <c r="A185" s="35"/>
      <c r="B185" s="35"/>
      <c r="C185" s="31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</row>
    <row r="186" spans="1:30" ht="23.25" customHeight="1">
      <c r="A186" s="264" t="s">
        <v>50</v>
      </c>
      <c r="B186" s="266"/>
      <c r="C186" s="267" t="s">
        <v>2</v>
      </c>
      <c r="D186" s="267"/>
      <c r="E186" s="267" t="s">
        <v>3</v>
      </c>
      <c r="F186" s="267"/>
      <c r="G186" s="267" t="s">
        <v>4</v>
      </c>
      <c r="H186" s="267"/>
      <c r="I186" s="267" t="s">
        <v>5</v>
      </c>
      <c r="J186" s="267"/>
      <c r="K186" s="267" t="s">
        <v>6</v>
      </c>
      <c r="L186" s="267"/>
      <c r="M186" s="267" t="s">
        <v>7</v>
      </c>
      <c r="N186" s="267"/>
      <c r="O186" s="267" t="s">
        <v>8</v>
      </c>
      <c r="P186" s="267"/>
      <c r="Q186" s="267" t="s">
        <v>9</v>
      </c>
      <c r="R186" s="267"/>
      <c r="S186" s="267" t="s">
        <v>10</v>
      </c>
      <c r="T186" s="267"/>
      <c r="U186" s="267" t="s">
        <v>11</v>
      </c>
      <c r="V186" s="267"/>
      <c r="W186" s="267" t="s">
        <v>12</v>
      </c>
      <c r="X186" s="267"/>
      <c r="Y186" s="267" t="s">
        <v>13</v>
      </c>
      <c r="Z186" s="267"/>
      <c r="AA186" s="267" t="s">
        <v>14</v>
      </c>
      <c r="AB186" s="267"/>
    </row>
    <row r="187" spans="1:30">
      <c r="A187" s="265"/>
      <c r="B187" s="266"/>
      <c r="C187" s="3" t="s">
        <v>1</v>
      </c>
      <c r="D187" s="3" t="s">
        <v>15</v>
      </c>
      <c r="E187" s="3" t="s">
        <v>1</v>
      </c>
      <c r="F187" s="3"/>
      <c r="G187" s="3" t="s">
        <v>1</v>
      </c>
      <c r="H187" s="3"/>
      <c r="I187" s="3" t="s">
        <v>1</v>
      </c>
      <c r="J187" s="3" t="s">
        <v>15</v>
      </c>
      <c r="K187" s="3" t="s">
        <v>1</v>
      </c>
      <c r="L187" s="3" t="s">
        <v>15</v>
      </c>
      <c r="M187" s="3" t="s">
        <v>1</v>
      </c>
      <c r="N187" s="3" t="s">
        <v>15</v>
      </c>
      <c r="O187" s="3" t="s">
        <v>1</v>
      </c>
      <c r="P187" s="3" t="s">
        <v>15</v>
      </c>
      <c r="Q187" s="3" t="s">
        <v>1</v>
      </c>
      <c r="R187" s="3" t="s">
        <v>15</v>
      </c>
      <c r="S187" s="3" t="s">
        <v>1</v>
      </c>
      <c r="T187" s="3" t="s">
        <v>15</v>
      </c>
      <c r="U187" s="3" t="s">
        <v>1</v>
      </c>
      <c r="V187" s="3" t="s">
        <v>15</v>
      </c>
      <c r="W187" s="3" t="s">
        <v>1</v>
      </c>
      <c r="X187" s="3" t="s">
        <v>15</v>
      </c>
      <c r="Y187" s="3" t="s">
        <v>1</v>
      </c>
      <c r="Z187" s="3" t="s">
        <v>15</v>
      </c>
      <c r="AA187" s="3" t="s">
        <v>1</v>
      </c>
      <c r="AB187" s="3" t="s">
        <v>15</v>
      </c>
    </row>
    <row r="188" spans="1:30">
      <c r="A188" s="41" t="s">
        <v>28</v>
      </c>
      <c r="B188" s="44">
        <f>SUM(B189:B196)</f>
        <v>143737236.42666665</v>
      </c>
      <c r="C188" s="44">
        <f>SUM(C189:C196)</f>
        <v>39161782.473333329</v>
      </c>
      <c r="D188" s="42">
        <f>+C188/$B188</f>
        <v>0.27245398232846429</v>
      </c>
      <c r="E188" s="44">
        <f>SUM(E189:E196)</f>
        <v>18362567.399999999</v>
      </c>
      <c r="F188" s="42">
        <f>+E188/$B188</f>
        <v>0.12775094232014406</v>
      </c>
      <c r="G188" s="44">
        <f>SUM(G189:G196)</f>
        <v>14511084.996666664</v>
      </c>
      <c r="H188" s="42">
        <f>+G188/$B188</f>
        <v>0.10095564209675117</v>
      </c>
      <c r="I188" s="44">
        <f>SUM(I189:I196)</f>
        <v>11881375.796666667</v>
      </c>
      <c r="J188" s="42">
        <f t="shared" ref="J188:J196" si="25">+I188/$B188</f>
        <v>8.2660388442409152E-2</v>
      </c>
      <c r="K188" s="44">
        <f>SUM(K189:K196)</f>
        <v>7912821.8166666655</v>
      </c>
      <c r="L188" s="42">
        <f>+K188/$B188</f>
        <v>5.5050604932867973E-2</v>
      </c>
      <c r="M188" s="44">
        <f>SUM(M189:M196)</f>
        <v>6500963.2033333331</v>
      </c>
      <c r="N188" s="42">
        <f>+M188/$B188</f>
        <v>4.5228107656362669E-2</v>
      </c>
      <c r="O188" s="44">
        <f>SUM(O189:O196)</f>
        <v>7013998.623333334</v>
      </c>
      <c r="P188" s="42">
        <f>+O188/$B188</f>
        <v>4.8797366623309253E-2</v>
      </c>
      <c r="Q188" s="44">
        <f>SUM(Q189:Q196)</f>
        <v>6670480.7699999996</v>
      </c>
      <c r="R188" s="42">
        <f>+Q188/$B188</f>
        <v>4.6407465009272071E-2</v>
      </c>
      <c r="S188" s="44">
        <f>SUM(S189:S196)</f>
        <v>6410076.1599999992</v>
      </c>
      <c r="T188" s="42">
        <f>+S188/$B188</f>
        <v>4.4595793820415897E-2</v>
      </c>
      <c r="U188" s="44">
        <f>SUM(U189:U196)</f>
        <v>7255525.9200000009</v>
      </c>
      <c r="V188" s="42">
        <f>+U188/$B188</f>
        <v>5.0477705710598522E-2</v>
      </c>
      <c r="W188" s="44">
        <f>SUM(W189:W196)</f>
        <v>6329922.6699999999</v>
      </c>
      <c r="X188" s="42">
        <f>+W188/$B188</f>
        <v>4.4038154811954139E-2</v>
      </c>
      <c r="Y188" s="44">
        <f>SUM(Y189:Y196)</f>
        <v>11726636.596666666</v>
      </c>
      <c r="Z188" s="42">
        <f>+Y188/$B188</f>
        <v>8.1583846247450867E-2</v>
      </c>
      <c r="AA188" s="44">
        <f>+C188+E188+G188+I188+K188+M188+O188+Q188+S188+U188+W188+Y188</f>
        <v>143737236.42666665</v>
      </c>
      <c r="AB188" s="42">
        <f t="shared" ref="AB188:AB194" si="26">+AA188/$B188</f>
        <v>1</v>
      </c>
      <c r="AC188" s="26"/>
      <c r="AD188" s="26"/>
    </row>
    <row r="189" spans="1:30">
      <c r="A189" s="11" t="s">
        <v>42</v>
      </c>
      <c r="B189" s="28">
        <f>+(B7+B29+B53)/3</f>
        <v>0</v>
      </c>
      <c r="C189" s="28"/>
      <c r="D189" s="29"/>
      <c r="E189" s="28"/>
      <c r="F189" s="29"/>
      <c r="G189" s="28"/>
      <c r="H189" s="29"/>
      <c r="I189" s="28"/>
      <c r="J189" s="29"/>
      <c r="K189" s="28"/>
      <c r="L189" s="29"/>
      <c r="M189" s="28"/>
      <c r="N189" s="29"/>
      <c r="O189" s="28"/>
      <c r="P189" s="29"/>
      <c r="Q189" s="28">
        <f>+(Q7+Q29+Q53)/3</f>
        <v>0</v>
      </c>
      <c r="R189" s="29"/>
      <c r="S189" s="28"/>
      <c r="T189" s="29"/>
      <c r="U189" s="28"/>
      <c r="V189" s="29"/>
      <c r="W189" s="28">
        <f>+(W7+W29+W53)/3</f>
        <v>0</v>
      </c>
      <c r="X189" s="29"/>
      <c r="Y189" s="28"/>
      <c r="Z189" s="29"/>
      <c r="AA189" s="28"/>
      <c r="AB189" s="29"/>
    </row>
    <row r="190" spans="1:30">
      <c r="A190" s="11" t="s">
        <v>31</v>
      </c>
      <c r="B190" s="28">
        <f>+(B79+B107+B131)/3</f>
        <v>99647148.059999987</v>
      </c>
      <c r="C190" s="28">
        <f>+(C79+C107+C131)/3</f>
        <v>34234823.306666665</v>
      </c>
      <c r="D190" s="29">
        <f>+C190/$B190</f>
        <v>0.34356049293104746</v>
      </c>
      <c r="E190" s="28">
        <f>+(E79+E107+E131)/3</f>
        <v>14004461.236666666</v>
      </c>
      <c r="F190" s="29">
        <f>+E190/$B190</f>
        <v>0.14054051229077061</v>
      </c>
      <c r="G190" s="28">
        <f>+(G79+G107+G131)/3</f>
        <v>10111102.123333333</v>
      </c>
      <c r="H190" s="29">
        <f>+G190/$B190</f>
        <v>0.10146905676864119</v>
      </c>
      <c r="I190" s="28">
        <f>+(I79+I107+I131)/3</f>
        <v>8298334.6099999994</v>
      </c>
      <c r="J190" s="29">
        <f t="shared" si="25"/>
        <v>8.3277191285026739E-2</v>
      </c>
      <c r="K190" s="28">
        <f>+(K79+K107+K131)/3</f>
        <v>4778206.3599999994</v>
      </c>
      <c r="L190" s="29">
        <f>+K190/$B190</f>
        <v>4.7951260553116125E-2</v>
      </c>
      <c r="M190" s="28">
        <f>+(M79+M107+M131)/3</f>
        <v>3727221.8000000003</v>
      </c>
      <c r="N190" s="29">
        <f>+M190/$B190</f>
        <v>3.7404199443377431E-2</v>
      </c>
      <c r="O190" s="28">
        <f>+(O79+O107+O131)/3</f>
        <v>3787686.8233333337</v>
      </c>
      <c r="P190" s="29">
        <f>+O190/$B190</f>
        <v>3.8010990751613634E-2</v>
      </c>
      <c r="Q190" s="28">
        <f>+(Q79+Q107+Q131)/3</f>
        <v>3322016.2999999993</v>
      </c>
      <c r="R190" s="29">
        <f>+Q190/$B190</f>
        <v>3.3337796060151484E-2</v>
      </c>
      <c r="S190" s="28">
        <f>+(S79+S107+S131)/3</f>
        <v>3135135.7099999995</v>
      </c>
      <c r="T190" s="29">
        <f>+S190/$B190</f>
        <v>3.1462372692415218E-2</v>
      </c>
      <c r="U190" s="28">
        <f>+(U79+U107+U131)/3</f>
        <v>3325944.34</v>
      </c>
      <c r="V190" s="29">
        <f>+U190/$B190</f>
        <v>3.3377215552595318E-2</v>
      </c>
      <c r="W190" s="28">
        <f>+(W79+W107+W131)/3</f>
        <v>3221776.78</v>
      </c>
      <c r="X190" s="29">
        <f>+W190/$B190</f>
        <v>3.2331851364778542E-2</v>
      </c>
      <c r="Y190" s="28">
        <f>+(Y79+Y107+Y131)/3</f>
        <v>7700438.669999999</v>
      </c>
      <c r="Z190" s="29">
        <f>+Y190/$B190</f>
        <v>7.7277060306466333E-2</v>
      </c>
      <c r="AA190" s="28">
        <f>+(AA79+AA107+AA131)/3</f>
        <v>99647148.060000002</v>
      </c>
      <c r="AB190" s="29">
        <f t="shared" si="26"/>
        <v>1.0000000000000002</v>
      </c>
    </row>
    <row r="191" spans="1:30">
      <c r="A191" s="11" t="s">
        <v>32</v>
      </c>
      <c r="B191" s="28">
        <f>+(B80+B108+B132)/3</f>
        <v>3712478.92</v>
      </c>
      <c r="C191" s="28">
        <f>+(C80+C108+C132)/3</f>
        <v>303017.75333333336</v>
      </c>
      <c r="D191" s="29">
        <f>+C191/$B191</f>
        <v>8.1621407114503788E-2</v>
      </c>
      <c r="E191" s="28">
        <f>+(E80+E108+E132)/3</f>
        <v>317435.89999999997</v>
      </c>
      <c r="F191" s="29">
        <f>+E191/$B191</f>
        <v>8.5505105036394385E-2</v>
      </c>
      <c r="G191" s="28">
        <f>+(G80+G108+G132)/3</f>
        <v>359020.59666666668</v>
      </c>
      <c r="H191" s="29">
        <f>+G191/$B191</f>
        <v>9.6706433734219471E-2</v>
      </c>
      <c r="I191" s="28">
        <f>+(I80+I108+I132)/3</f>
        <v>367676.84</v>
      </c>
      <c r="J191" s="29">
        <f t="shared" si="25"/>
        <v>9.9038095009573834E-2</v>
      </c>
      <c r="K191" s="28">
        <f>+(K80+K108+K132)/3</f>
        <v>361467.02999999997</v>
      </c>
      <c r="L191" s="29">
        <f>+K191/$B191</f>
        <v>9.7365409417597443E-2</v>
      </c>
      <c r="M191" s="28">
        <f>+(M80+M108+M132)/3</f>
        <v>327586.76333333331</v>
      </c>
      <c r="N191" s="29">
        <f>+M191/$B191</f>
        <v>8.8239359843512138E-2</v>
      </c>
      <c r="O191" s="28">
        <f>+(O80+O108+O132)/3</f>
        <v>343349.12666666665</v>
      </c>
      <c r="P191" s="29">
        <f>+O191/$B191</f>
        <v>9.2485138384749851E-2</v>
      </c>
      <c r="Q191" s="28">
        <f>+(Q80+Q108+Q132)/3</f>
        <v>311685.21333333332</v>
      </c>
      <c r="R191" s="29">
        <f>+Q191/$B191</f>
        <v>8.3956089731368311E-2</v>
      </c>
      <c r="S191" s="28">
        <f>+(S80+S108+S132)/3</f>
        <v>271449.42333333334</v>
      </c>
      <c r="T191" s="29">
        <f>+S191/$B191</f>
        <v>7.3118104959726843E-2</v>
      </c>
      <c r="U191" s="28">
        <f>+(U80+U108+U132)/3</f>
        <v>283204.94666666666</v>
      </c>
      <c r="V191" s="29">
        <f>+U191/$B191</f>
        <v>7.6284593870950962E-2</v>
      </c>
      <c r="W191" s="28">
        <f>+(W80+W108+W132)/3</f>
        <v>237062.97999999998</v>
      </c>
      <c r="X191" s="29">
        <f>+W191/$B191</f>
        <v>6.3855710728183745E-2</v>
      </c>
      <c r="Y191" s="28">
        <f>+(Y80+Y108+Y132)/3</f>
        <v>229522.34666666665</v>
      </c>
      <c r="Z191" s="29">
        <f>+Y191/$B191</f>
        <v>6.1824552169219227E-2</v>
      </c>
      <c r="AA191" s="28">
        <f>+(AA80+AA108+AA132)/3</f>
        <v>3712478.9200000004</v>
      </c>
      <c r="AB191" s="29">
        <f t="shared" si="26"/>
        <v>1.0000000000000002</v>
      </c>
    </row>
    <row r="192" spans="1:30">
      <c r="A192" s="11" t="s">
        <v>43</v>
      </c>
      <c r="B192" s="28"/>
      <c r="C192" s="28"/>
      <c r="D192" s="29"/>
      <c r="E192" s="28"/>
      <c r="F192" s="29"/>
      <c r="G192" s="28"/>
      <c r="H192" s="29"/>
      <c r="I192" s="28"/>
      <c r="J192" s="29"/>
      <c r="K192" s="28"/>
      <c r="L192" s="29"/>
      <c r="M192" s="28"/>
      <c r="N192" s="29"/>
      <c r="O192" s="28"/>
      <c r="P192" s="29"/>
      <c r="Q192" s="28"/>
      <c r="R192" s="29"/>
      <c r="S192" s="28"/>
      <c r="T192" s="29"/>
      <c r="U192" s="28"/>
      <c r="V192" s="29"/>
      <c r="W192" s="28"/>
      <c r="X192" s="29"/>
      <c r="Y192" s="28"/>
      <c r="Z192" s="29"/>
      <c r="AA192" s="28"/>
      <c r="AB192" s="29"/>
    </row>
    <row r="193" spans="1:28">
      <c r="A193" s="11" t="s">
        <v>44</v>
      </c>
      <c r="B193" s="28"/>
      <c r="C193" s="28"/>
      <c r="D193" s="29"/>
      <c r="E193" s="28"/>
      <c r="F193" s="29"/>
      <c r="G193" s="28"/>
      <c r="H193" s="29"/>
      <c r="I193" s="28"/>
      <c r="J193" s="29"/>
      <c r="K193" s="28"/>
      <c r="L193" s="29"/>
      <c r="M193" s="28"/>
      <c r="N193" s="29"/>
      <c r="O193" s="28"/>
      <c r="P193" s="29"/>
      <c r="Q193" s="28"/>
      <c r="R193" s="29"/>
      <c r="S193" s="28"/>
      <c r="T193" s="29"/>
      <c r="U193" s="28"/>
      <c r="V193" s="29"/>
      <c r="W193" s="28"/>
      <c r="X193" s="29"/>
      <c r="Y193" s="28"/>
      <c r="Z193" s="29"/>
      <c r="AA193" s="28"/>
      <c r="AB193" s="29"/>
    </row>
    <row r="194" spans="1:28">
      <c r="A194" s="11" t="s">
        <v>45</v>
      </c>
      <c r="B194" s="28">
        <f>+(B83+B111+B135)/3</f>
        <v>19583787.719999999</v>
      </c>
      <c r="C194" s="28">
        <f>+(C83+C111+C135)/3</f>
        <v>2668151.6766666668</v>
      </c>
      <c r="D194" s="29">
        <f>+C194/$B194</f>
        <v>0.13624288185792624</v>
      </c>
      <c r="E194" s="28">
        <f>+(E83+E111+E135)/3</f>
        <v>2275500.15</v>
      </c>
      <c r="F194" s="29">
        <f>+E194/$B194</f>
        <v>0.11619305634507766</v>
      </c>
      <c r="G194" s="28">
        <f>+(G83+G111+G135)/3</f>
        <v>2382661.3833333333</v>
      </c>
      <c r="H194" s="29">
        <f>+G194/$B194</f>
        <v>0.12166499235998324</v>
      </c>
      <c r="I194" s="28">
        <f>+(I83+I111+I135)/3</f>
        <v>1589512.8466666667</v>
      </c>
      <c r="J194" s="29">
        <f t="shared" si="25"/>
        <v>8.1164730204023414E-2</v>
      </c>
      <c r="K194" s="28">
        <f>+(K83+K111+K135)/3</f>
        <v>1222861.3666666667</v>
      </c>
      <c r="L194" s="29">
        <f>+K194/$B194</f>
        <v>6.2442535843963219E-2</v>
      </c>
      <c r="M194" s="28">
        <f>+(M83+M111+M135)/3</f>
        <v>1017880.1266666668</v>
      </c>
      <c r="N194" s="29">
        <f>+M194/$B194</f>
        <v>5.1975651555248109E-2</v>
      </c>
      <c r="O194" s="28">
        <f>+(O83+O111+O135)/3</f>
        <v>1364459.61</v>
      </c>
      <c r="P194" s="29">
        <f>+O194/$B194</f>
        <v>6.9672916675181371E-2</v>
      </c>
      <c r="Q194" s="28">
        <f>+(Q83+Q111+Q135)/3</f>
        <v>1486440.7933333337</v>
      </c>
      <c r="R194" s="29">
        <f>+Q194/$B194</f>
        <v>7.5901598535777728E-2</v>
      </c>
      <c r="S194" s="28">
        <f>+(S83+S111+S135)/3</f>
        <v>1394851.83</v>
      </c>
      <c r="T194" s="29">
        <f>+S194/$B194</f>
        <v>7.1224823815645405E-2</v>
      </c>
      <c r="U194" s="28">
        <f>+(U83+U111+U135)/3</f>
        <v>1603407.1033333335</v>
      </c>
      <c r="V194" s="29">
        <f>+U194/$B194</f>
        <v>8.187420769966014E-2</v>
      </c>
      <c r="W194" s="28">
        <f>+(W83+W111+W135)/3</f>
        <v>1269957.96</v>
      </c>
      <c r="X194" s="29">
        <f>+W194/$B194</f>
        <v>6.4847412469807963E-2</v>
      </c>
      <c r="Y194" s="28">
        <f>+(Y83+Y111+Y135)/3</f>
        <v>1308098.3899999999</v>
      </c>
      <c r="Z194" s="29">
        <f>+Y194/$B194</f>
        <v>6.6794963706847205E-2</v>
      </c>
      <c r="AA194" s="28">
        <f>+(AA83+AA111+AA135)/3</f>
        <v>19583783.236666668</v>
      </c>
      <c r="AB194" s="29">
        <f t="shared" si="26"/>
        <v>0.99999977106914173</v>
      </c>
    </row>
    <row r="195" spans="1:28">
      <c r="A195" s="11" t="s">
        <v>46</v>
      </c>
      <c r="B195" s="28"/>
      <c r="C195" s="28"/>
      <c r="D195" s="29"/>
      <c r="E195" s="28"/>
      <c r="F195" s="29"/>
      <c r="G195" s="28"/>
      <c r="H195" s="29"/>
      <c r="I195" s="28"/>
      <c r="J195" s="29"/>
      <c r="K195" s="28"/>
      <c r="L195" s="29"/>
      <c r="M195" s="28"/>
      <c r="N195" s="29"/>
      <c r="O195" s="28"/>
      <c r="P195" s="29"/>
      <c r="Q195" s="28"/>
      <c r="R195" s="29"/>
      <c r="S195" s="28"/>
      <c r="T195" s="29"/>
      <c r="U195" s="28"/>
      <c r="V195" s="29"/>
      <c r="W195" s="28"/>
      <c r="X195" s="29"/>
      <c r="Y195" s="28"/>
      <c r="Z195" s="29"/>
      <c r="AA195" s="28"/>
      <c r="AB195" s="29"/>
    </row>
    <row r="196" spans="1:28">
      <c r="A196" s="11" t="s">
        <v>35</v>
      </c>
      <c r="B196" s="28">
        <f>+(B85+B113+B137)/3</f>
        <v>20793821.726666663</v>
      </c>
      <c r="C196" s="28">
        <f>+(C85+C113+C137)/3</f>
        <v>1955789.7366666666</v>
      </c>
      <c r="D196" s="29">
        <f>+C196/$B196</f>
        <v>9.4056290487404687E-2</v>
      </c>
      <c r="E196" s="28">
        <f>+(E85+E113+E137)/3</f>
        <v>1765170.1133333333</v>
      </c>
      <c r="F196" s="29">
        <f>+E196/$B196</f>
        <v>8.4889162585712788E-2</v>
      </c>
      <c r="G196" s="28">
        <f>+(G85+G113+G137)/3</f>
        <v>1658300.8933333333</v>
      </c>
      <c r="H196" s="29">
        <f>+G196/$B196</f>
        <v>7.9749692727560287E-2</v>
      </c>
      <c r="I196" s="28">
        <f>+(I85+I113+I137)/3</f>
        <v>1625851.5</v>
      </c>
      <c r="J196" s="29">
        <f t="shared" si="25"/>
        <v>7.8189162212300586E-2</v>
      </c>
      <c r="K196" s="28">
        <f>+(K85+K113+K137)/3</f>
        <v>1550287.0599999998</v>
      </c>
      <c r="L196" s="29">
        <f>+K196/$B196</f>
        <v>7.4555177031832592E-2</v>
      </c>
      <c r="M196" s="28">
        <f>+(M85+M113+M137)/3</f>
        <v>1428274.513333333</v>
      </c>
      <c r="N196" s="29">
        <f>+M196/$B196</f>
        <v>6.8687446305345012E-2</v>
      </c>
      <c r="O196" s="28">
        <f>+(O85+O113+O137)/3</f>
        <v>1518503.0633333332</v>
      </c>
      <c r="P196" s="29">
        <f>+O196/$B196</f>
        <v>7.3026646245887367E-2</v>
      </c>
      <c r="Q196" s="28">
        <f>+(Q85+Q113+Q137)/3</f>
        <v>1550338.4633333331</v>
      </c>
      <c r="R196" s="29">
        <f>+Q196/$B196</f>
        <v>7.4557649080213548E-2</v>
      </c>
      <c r="S196" s="28">
        <f>+(S85+S113+S137)/3</f>
        <v>1608639.1966666665</v>
      </c>
      <c r="T196" s="29">
        <f>+S196/$B196</f>
        <v>7.7361401757316026E-2</v>
      </c>
      <c r="U196" s="28">
        <f>+(U85+U113+U137)/3</f>
        <v>2042969.53</v>
      </c>
      <c r="V196" s="29">
        <f>+U196/$B196</f>
        <v>9.8248872037795268E-2</v>
      </c>
      <c r="W196" s="28">
        <f>+(W85+W113+W137)/3</f>
        <v>1601124.95</v>
      </c>
      <c r="X196" s="29">
        <f>+W196/$B196</f>
        <v>7.7000032559991896E-2</v>
      </c>
      <c r="Y196" s="28">
        <f>+(Y85+Y113+Y137)/3</f>
        <v>2488577.19</v>
      </c>
      <c r="Z196" s="29">
        <f>+Y196/$B196</f>
        <v>0.11967868257755471</v>
      </c>
      <c r="AA196" s="28">
        <f>+(AA85+AA113+AA137)/3</f>
        <v>20793826.210000001</v>
      </c>
      <c r="AB196" s="29">
        <f>+AA196/$B196</f>
        <v>1.0000002156089149</v>
      </c>
    </row>
    <row r="197" spans="1:28">
      <c r="A197" s="41" t="s">
        <v>56</v>
      </c>
      <c r="B197" s="44">
        <f>SUM(B198:B202)</f>
        <v>0</v>
      </c>
      <c r="C197" s="44">
        <f>SUM(C198:C202)</f>
        <v>0</v>
      </c>
      <c r="D197" s="45"/>
      <c r="E197" s="44"/>
      <c r="F197" s="42"/>
      <c r="G197" s="44"/>
      <c r="H197" s="42"/>
      <c r="I197" s="44"/>
      <c r="J197" s="42"/>
      <c r="K197" s="44"/>
      <c r="L197" s="42"/>
      <c r="M197" s="44"/>
      <c r="N197" s="42"/>
      <c r="O197" s="44"/>
      <c r="P197" s="42"/>
      <c r="Q197" s="44"/>
      <c r="R197" s="42"/>
      <c r="S197" s="44"/>
      <c r="T197" s="42"/>
      <c r="U197" s="44"/>
      <c r="V197" s="42"/>
      <c r="W197" s="44"/>
      <c r="X197" s="42"/>
      <c r="Y197" s="44"/>
      <c r="Z197" s="42"/>
      <c r="AA197" s="44"/>
      <c r="AB197" s="42"/>
    </row>
    <row r="198" spans="1:28">
      <c r="A198" s="11" t="s">
        <v>47</v>
      </c>
      <c r="B198" s="28"/>
      <c r="C198" s="28"/>
      <c r="D198" s="34"/>
      <c r="E198" s="28"/>
      <c r="F198" s="29"/>
      <c r="G198" s="28"/>
      <c r="H198" s="29"/>
      <c r="I198" s="28"/>
      <c r="J198" s="29"/>
      <c r="K198" s="28"/>
      <c r="L198" s="29"/>
      <c r="M198" s="28"/>
      <c r="N198" s="29"/>
      <c r="O198" s="28"/>
      <c r="P198" s="29"/>
      <c r="Q198" s="28"/>
      <c r="R198" s="29"/>
      <c r="S198" s="28"/>
      <c r="T198" s="29"/>
      <c r="U198" s="28"/>
      <c r="V198" s="29"/>
      <c r="W198" s="28"/>
      <c r="X198" s="29"/>
      <c r="Y198" s="28"/>
      <c r="Z198" s="29"/>
      <c r="AA198" s="28"/>
      <c r="AB198" s="29"/>
    </row>
    <row r="199" spans="1:28">
      <c r="A199" s="11" t="s">
        <v>48</v>
      </c>
      <c r="B199" s="28">
        <f>+(B63+B88+B116)/3</f>
        <v>0</v>
      </c>
      <c r="C199" s="28">
        <f>+(C63+C88+C116)/3</f>
        <v>0</v>
      </c>
      <c r="D199" s="34"/>
      <c r="E199" s="28"/>
      <c r="F199" s="29"/>
      <c r="G199" s="28"/>
      <c r="H199" s="29"/>
      <c r="I199" s="28"/>
      <c r="J199" s="29"/>
      <c r="K199" s="28"/>
      <c r="L199" s="29"/>
      <c r="M199" s="28"/>
      <c r="N199" s="29"/>
      <c r="O199" s="28"/>
      <c r="P199" s="38"/>
      <c r="Q199" s="28"/>
      <c r="R199" s="38"/>
      <c r="S199" s="28"/>
      <c r="T199" s="38"/>
      <c r="U199" s="28"/>
      <c r="V199" s="38"/>
      <c r="W199" s="28"/>
      <c r="X199" s="38"/>
      <c r="Y199" s="28"/>
      <c r="Z199" s="38"/>
      <c r="AA199" s="28"/>
      <c r="AB199" s="29"/>
    </row>
    <row r="200" spans="1:28">
      <c r="A200" s="11" t="s">
        <v>33</v>
      </c>
      <c r="B200" s="28"/>
      <c r="C200" s="28"/>
      <c r="D200" s="34"/>
      <c r="E200" s="28"/>
      <c r="F200" s="29"/>
      <c r="G200" s="28"/>
      <c r="H200" s="29"/>
      <c r="I200" s="28"/>
      <c r="J200" s="29"/>
      <c r="K200" s="28"/>
      <c r="L200" s="29"/>
      <c r="M200" s="28"/>
      <c r="N200" s="29"/>
      <c r="O200" s="28"/>
      <c r="P200" s="38"/>
      <c r="Q200" s="28"/>
      <c r="R200" s="38"/>
      <c r="S200" s="28"/>
      <c r="T200" s="38"/>
      <c r="U200" s="28"/>
      <c r="V200" s="38"/>
      <c r="W200" s="28"/>
      <c r="X200" s="38"/>
      <c r="Y200" s="28"/>
      <c r="Z200" s="38"/>
      <c r="AA200" s="28"/>
      <c r="AB200" s="29"/>
    </row>
    <row r="201" spans="1:28">
      <c r="A201" s="11" t="s">
        <v>49</v>
      </c>
      <c r="B201" s="28"/>
      <c r="C201" s="28"/>
      <c r="D201" s="34"/>
      <c r="E201" s="28"/>
      <c r="F201" s="29"/>
      <c r="G201" s="28"/>
      <c r="H201" s="29"/>
      <c r="I201" s="28"/>
      <c r="J201" s="29"/>
      <c r="K201" s="28"/>
      <c r="L201" s="29"/>
      <c r="M201" s="28"/>
      <c r="N201" s="29"/>
      <c r="O201" s="28"/>
      <c r="P201" s="29"/>
      <c r="Q201" s="28">
        <f>+(Q19+Q41+Q65)/3</f>
        <v>0</v>
      </c>
      <c r="R201" s="29"/>
      <c r="S201" s="28">
        <f>+(S19+S41+S65)/3</f>
        <v>0</v>
      </c>
      <c r="T201" s="29"/>
      <c r="U201" s="28">
        <f>+(U19+U41+U65)/3</f>
        <v>0</v>
      </c>
      <c r="V201" s="29"/>
      <c r="W201" s="28">
        <f>+(W19+W41+W65)/3</f>
        <v>0</v>
      </c>
      <c r="X201" s="29"/>
      <c r="Y201" s="28">
        <f>+(Y19+Y41+Y65)/3</f>
        <v>0</v>
      </c>
      <c r="Z201" s="29"/>
      <c r="AA201" s="28">
        <f>+(AA19+AA41+AA65)/3</f>
        <v>0</v>
      </c>
      <c r="AB201" s="29"/>
    </row>
    <row r="202" spans="1:28">
      <c r="A202" s="11" t="s">
        <v>34</v>
      </c>
      <c r="B202" s="28"/>
      <c r="C202" s="28"/>
      <c r="D202" s="34"/>
      <c r="E202" s="28"/>
      <c r="F202" s="29"/>
      <c r="G202" s="28"/>
      <c r="H202" s="29"/>
      <c r="I202" s="28"/>
      <c r="J202" s="29"/>
      <c r="K202" s="28"/>
      <c r="L202" s="29"/>
      <c r="M202" s="28"/>
      <c r="N202" s="29"/>
      <c r="O202" s="28"/>
      <c r="P202" s="29"/>
      <c r="Q202" s="28">
        <f>+(Q20+Q42+Q66)/3</f>
        <v>0</v>
      </c>
      <c r="R202" s="29"/>
      <c r="S202" s="28">
        <f>+(S20+S42+S66)/3</f>
        <v>0</v>
      </c>
      <c r="T202" s="29"/>
      <c r="U202" s="28">
        <f>+(U20+U42+U66)/3</f>
        <v>0</v>
      </c>
      <c r="V202" s="29"/>
      <c r="W202" s="28">
        <f>+(W20+W42+W66)/3</f>
        <v>0</v>
      </c>
      <c r="X202" s="29"/>
      <c r="Y202" s="28">
        <f>+(Y20+Y42+Y66)/3</f>
        <v>0</v>
      </c>
      <c r="Z202" s="29"/>
      <c r="AA202" s="28">
        <f>+(AA20+AA42+AA66)/3</f>
        <v>0</v>
      </c>
      <c r="AB202" s="29"/>
    </row>
    <row r="203" spans="1:28">
      <c r="A203" s="39" t="s">
        <v>16</v>
      </c>
      <c r="B203" s="46">
        <f>+B188+B197</f>
        <v>143737236.42666665</v>
      </c>
      <c r="C203" s="46">
        <f>+C188+C197</f>
        <v>39161782.473333329</v>
      </c>
      <c r="D203" s="40">
        <f t="shared" ref="D203:Z203" si="27">+D188+D197</f>
        <v>0.27245398232846429</v>
      </c>
      <c r="E203" s="46">
        <f t="shared" si="27"/>
        <v>18362567.399999999</v>
      </c>
      <c r="F203" s="40">
        <f t="shared" si="27"/>
        <v>0.12775094232014406</v>
      </c>
      <c r="G203" s="46">
        <f t="shared" si="27"/>
        <v>14511084.996666664</v>
      </c>
      <c r="H203" s="40">
        <f t="shared" si="27"/>
        <v>0.10095564209675117</v>
      </c>
      <c r="I203" s="46">
        <f t="shared" si="27"/>
        <v>11881375.796666667</v>
      </c>
      <c r="J203" s="40">
        <f t="shared" si="27"/>
        <v>8.2660388442409152E-2</v>
      </c>
      <c r="K203" s="46">
        <f t="shared" si="27"/>
        <v>7912821.8166666655</v>
      </c>
      <c r="L203" s="40">
        <f t="shared" si="27"/>
        <v>5.5050604932867973E-2</v>
      </c>
      <c r="M203" s="46">
        <f t="shared" si="27"/>
        <v>6500963.2033333331</v>
      </c>
      <c r="N203" s="40">
        <f t="shared" si="27"/>
        <v>4.5228107656362669E-2</v>
      </c>
      <c r="O203" s="46">
        <f t="shared" si="27"/>
        <v>7013998.623333334</v>
      </c>
      <c r="P203" s="40">
        <f t="shared" si="27"/>
        <v>4.8797366623309253E-2</v>
      </c>
      <c r="Q203" s="46">
        <f t="shared" si="27"/>
        <v>6670480.7699999996</v>
      </c>
      <c r="R203" s="40">
        <f t="shared" si="27"/>
        <v>4.6407465009272071E-2</v>
      </c>
      <c r="S203" s="46">
        <f t="shared" si="27"/>
        <v>6410076.1599999992</v>
      </c>
      <c r="T203" s="40">
        <f t="shared" si="27"/>
        <v>4.4595793820415897E-2</v>
      </c>
      <c r="U203" s="46">
        <f t="shared" si="27"/>
        <v>7255525.9200000009</v>
      </c>
      <c r="V203" s="40">
        <f t="shared" si="27"/>
        <v>5.0477705710598522E-2</v>
      </c>
      <c r="W203" s="46">
        <f t="shared" si="27"/>
        <v>6329922.6699999999</v>
      </c>
      <c r="X203" s="40">
        <f t="shared" si="27"/>
        <v>4.4038154811954139E-2</v>
      </c>
      <c r="Y203" s="46">
        <f t="shared" si="27"/>
        <v>11726636.596666666</v>
      </c>
      <c r="Z203" s="40">
        <f t="shared" si="27"/>
        <v>8.1583846247450867E-2</v>
      </c>
      <c r="AA203" s="46">
        <f>+C203+E203+G203+I203+K203+M203+O203+Q203+S203+U203+W203+Y203</f>
        <v>143737236.42666665</v>
      </c>
      <c r="AB203" s="40">
        <f>+AA203/B203</f>
        <v>1</v>
      </c>
    </row>
    <row r="390" spans="4:4">
      <c r="D390" s="33"/>
    </row>
  </sheetData>
  <sheetProtection selectLockedCells="1" selectUnlockedCells="1"/>
  <mergeCells count="141">
    <mergeCell ref="Y151:Z151"/>
    <mergeCell ref="AA151:AB151"/>
    <mergeCell ref="M151:N151"/>
    <mergeCell ref="O151:P151"/>
    <mergeCell ref="Q151:R151"/>
    <mergeCell ref="S151:T151"/>
    <mergeCell ref="U151:V151"/>
    <mergeCell ref="W151:X151"/>
    <mergeCell ref="A147:AB147"/>
    <mergeCell ref="A148:AB148"/>
    <mergeCell ref="C150:Z150"/>
    <mergeCell ref="A151:A152"/>
    <mergeCell ref="B151:B152"/>
    <mergeCell ref="C151:D151"/>
    <mergeCell ref="E151:F151"/>
    <mergeCell ref="G151:H151"/>
    <mergeCell ref="I151:J151"/>
    <mergeCell ref="K151:L151"/>
    <mergeCell ref="Y127:Z127"/>
    <mergeCell ref="AA127:AB127"/>
    <mergeCell ref="M127:N127"/>
    <mergeCell ref="O127:P127"/>
    <mergeCell ref="Q127:R127"/>
    <mergeCell ref="S127:T127"/>
    <mergeCell ref="U127:V127"/>
    <mergeCell ref="W127:X127"/>
    <mergeCell ref="A123:AB123"/>
    <mergeCell ref="A124:AB124"/>
    <mergeCell ref="C126:Z126"/>
    <mergeCell ref="A127:A128"/>
    <mergeCell ref="B127:B128"/>
    <mergeCell ref="C127:D127"/>
    <mergeCell ref="E127:F127"/>
    <mergeCell ref="G127:H127"/>
    <mergeCell ref="I127:J127"/>
    <mergeCell ref="K127:L127"/>
    <mergeCell ref="Y103:Z103"/>
    <mergeCell ref="AA103:AB103"/>
    <mergeCell ref="M103:N103"/>
    <mergeCell ref="O103:P103"/>
    <mergeCell ref="Q103:R103"/>
    <mergeCell ref="S103:T103"/>
    <mergeCell ref="U103:V103"/>
    <mergeCell ref="W103:X103"/>
    <mergeCell ref="A99:AB99"/>
    <mergeCell ref="A100:AB100"/>
    <mergeCell ref="C102:Z102"/>
    <mergeCell ref="A103:A104"/>
    <mergeCell ref="B103:B104"/>
    <mergeCell ref="C103:D103"/>
    <mergeCell ref="E103:F103"/>
    <mergeCell ref="G103:H103"/>
    <mergeCell ref="I103:J103"/>
    <mergeCell ref="K103:L103"/>
    <mergeCell ref="A2:AB2"/>
    <mergeCell ref="M4:N4"/>
    <mergeCell ref="K4:L4"/>
    <mergeCell ref="I4:J4"/>
    <mergeCell ref="G4:H4"/>
    <mergeCell ref="E4:F4"/>
    <mergeCell ref="Y4:Z4"/>
    <mergeCell ref="O4:P4"/>
    <mergeCell ref="G75:H75"/>
    <mergeCell ref="I75:J75"/>
    <mergeCell ref="K75:L75"/>
    <mergeCell ref="M75:N75"/>
    <mergeCell ref="O75:P75"/>
    <mergeCell ref="Q75:R75"/>
    <mergeCell ref="W75:X75"/>
    <mergeCell ref="Y75:Z75"/>
    <mergeCell ref="AA75:AB75"/>
    <mergeCell ref="A71:AB71"/>
    <mergeCell ref="A72:AB72"/>
    <mergeCell ref="C74:Z74"/>
    <mergeCell ref="A75:A76"/>
    <mergeCell ref="B75:B76"/>
    <mergeCell ref="C75:D75"/>
    <mergeCell ref="E75:F75"/>
    <mergeCell ref="S75:T75"/>
    <mergeCell ref="U75:V75"/>
    <mergeCell ref="Q186:R186"/>
    <mergeCell ref="S186:T186"/>
    <mergeCell ref="U186:V186"/>
    <mergeCell ref="A184:AB184"/>
    <mergeCell ref="A186:A187"/>
    <mergeCell ref="B186:B187"/>
    <mergeCell ref="C186:D186"/>
    <mergeCell ref="E186:F186"/>
    <mergeCell ref="A183:AB183"/>
    <mergeCell ref="G186:H186"/>
    <mergeCell ref="I186:J186"/>
    <mergeCell ref="Y186:Z186"/>
    <mergeCell ref="AA186:AB186"/>
    <mergeCell ref="K186:L186"/>
    <mergeCell ref="M186:N186"/>
    <mergeCell ref="W186:X186"/>
    <mergeCell ref="O186:P186"/>
    <mergeCell ref="U50:V50"/>
    <mergeCell ref="W50:X50"/>
    <mergeCell ref="Y50:Z50"/>
    <mergeCell ref="C49:Z49"/>
    <mergeCell ref="I50:J50"/>
    <mergeCell ref="K50:L50"/>
    <mergeCell ref="M50:N50"/>
    <mergeCell ref="A47:AB47"/>
    <mergeCell ref="A50:A51"/>
    <mergeCell ref="B50:B51"/>
    <mergeCell ref="C50:D50"/>
    <mergeCell ref="E50:F50"/>
    <mergeCell ref="G50:H50"/>
    <mergeCell ref="AA50:AB50"/>
    <mergeCell ref="O50:P50"/>
    <mergeCell ref="Q50:R50"/>
    <mergeCell ref="S50:T50"/>
    <mergeCell ref="W26:X26"/>
    <mergeCell ref="Y26:Z26"/>
    <mergeCell ref="AA26:AB26"/>
    <mergeCell ref="K26:L26"/>
    <mergeCell ref="M26:N26"/>
    <mergeCell ref="O26:P26"/>
    <mergeCell ref="Q26:R26"/>
    <mergeCell ref="S26:T26"/>
    <mergeCell ref="A23:AB23"/>
    <mergeCell ref="AA4:AB4"/>
    <mergeCell ref="W4:X4"/>
    <mergeCell ref="U4:V4"/>
    <mergeCell ref="S4:T4"/>
    <mergeCell ref="Q4:R4"/>
    <mergeCell ref="C4:D4"/>
    <mergeCell ref="B4:B5"/>
    <mergeCell ref="A4:A5"/>
    <mergeCell ref="A1:AB1"/>
    <mergeCell ref="A46:AB46"/>
    <mergeCell ref="A24:AB24"/>
    <mergeCell ref="A26:A27"/>
    <mergeCell ref="B26:B27"/>
    <mergeCell ref="C26:D26"/>
    <mergeCell ref="E26:F26"/>
    <mergeCell ref="G26:H26"/>
    <mergeCell ref="I26:J26"/>
    <mergeCell ref="U26:V26"/>
  </mergeCells>
  <pageMargins left="0.64" right="0.15748031496062992" top="0.43307086614173229" bottom="0.43307086614173229" header="0.31496062992125984" footer="0.31496062992125984"/>
  <pageSetup scale="2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329"/>
  <sheetViews>
    <sheetView zoomScaleNormal="100" workbookViewId="0">
      <pane xSplit="1" ySplit="5" topLeftCell="B131" activePane="bottomRight" state="frozen"/>
      <selection pane="topRight" activeCell="B1" sqref="B1"/>
      <selection pane="bottomLeft" activeCell="A6" sqref="A6"/>
      <selection pane="bottomRight" activeCell="G135" sqref="G135"/>
    </sheetView>
  </sheetViews>
  <sheetFormatPr defaultRowHeight="15"/>
  <cols>
    <col min="1" max="1" width="33.5703125" bestFit="1" customWidth="1"/>
    <col min="2" max="2" width="13.42578125" customWidth="1"/>
    <col min="3" max="3" width="11.7109375" bestFit="1" customWidth="1"/>
    <col min="4" max="4" width="6" bestFit="1" customWidth="1"/>
    <col min="5" max="5" width="14.28515625" bestFit="1" customWidth="1"/>
    <col min="6" max="6" width="6" bestFit="1" customWidth="1"/>
    <col min="7" max="7" width="11.7109375" bestFit="1" customWidth="1"/>
    <col min="8" max="8" width="6" bestFit="1" customWidth="1"/>
    <col min="9" max="9" width="11.7109375" bestFit="1" customWidth="1"/>
    <col min="10" max="10" width="6" bestFit="1" customWidth="1"/>
    <col min="11" max="11" width="10.85546875" bestFit="1" customWidth="1"/>
    <col min="12" max="12" width="6" bestFit="1" customWidth="1"/>
    <col min="13" max="13" width="11.7109375" bestFit="1" customWidth="1"/>
    <col min="14" max="14" width="6" bestFit="1" customWidth="1"/>
    <col min="15" max="15" width="10.85546875" bestFit="1" customWidth="1"/>
    <col min="16" max="16" width="6" bestFit="1" customWidth="1"/>
    <col min="17" max="17" width="10.85546875" bestFit="1" customWidth="1"/>
    <col min="18" max="18" width="6" bestFit="1" customWidth="1"/>
    <col min="19" max="19" width="10.85546875" bestFit="1" customWidth="1"/>
    <col min="20" max="20" width="6" bestFit="1" customWidth="1"/>
    <col min="21" max="21" width="11.7109375" bestFit="1" customWidth="1"/>
    <col min="22" max="22" width="6" bestFit="1" customWidth="1"/>
    <col min="23" max="23" width="11.7109375" bestFit="1" customWidth="1"/>
    <col min="24" max="24" width="6" bestFit="1" customWidth="1"/>
    <col min="25" max="25" width="11.7109375" bestFit="1" customWidth="1"/>
    <col min="26" max="26" width="6" bestFit="1" customWidth="1"/>
    <col min="27" max="27" width="11.7109375" bestFit="1" customWidth="1"/>
    <col min="28" max="28" width="6.85546875" bestFit="1" customWidth="1"/>
    <col min="29" max="29" width="15.28515625" bestFit="1" customWidth="1"/>
    <col min="30" max="30" width="6.85546875" bestFit="1" customWidth="1"/>
    <col min="31" max="31" width="11.7109375" bestFit="1" customWidth="1"/>
    <col min="32" max="32" width="33.5703125" bestFit="1" customWidth="1"/>
    <col min="33" max="33" width="23.42578125" customWidth="1"/>
    <col min="34" max="34" width="19.5703125" customWidth="1"/>
  </cols>
  <sheetData>
    <row r="1" spans="1:30" ht="18" hidden="1">
      <c r="A1" s="262" t="s">
        <v>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</row>
    <row r="2" spans="1:30" ht="18" hidden="1" customHeight="1">
      <c r="A2" s="262" t="s">
        <v>27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</row>
    <row r="3" spans="1:30" hidden="1">
      <c r="A3" s="21"/>
      <c r="B3" s="21"/>
      <c r="C3" s="9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20.25" hidden="1" customHeight="1">
      <c r="A4" s="276" t="s">
        <v>26</v>
      </c>
      <c r="B4" s="276" t="s">
        <v>51</v>
      </c>
      <c r="C4" s="273" t="s">
        <v>2</v>
      </c>
      <c r="D4" s="274"/>
      <c r="E4" s="273" t="s">
        <v>3</v>
      </c>
      <c r="F4" s="274"/>
      <c r="G4" s="273" t="s">
        <v>4</v>
      </c>
      <c r="H4" s="274"/>
      <c r="I4" s="273" t="s">
        <v>5</v>
      </c>
      <c r="J4" s="274"/>
      <c r="K4" s="273" t="s">
        <v>6</v>
      </c>
      <c r="L4" s="274"/>
      <c r="M4" s="273" t="s">
        <v>7</v>
      </c>
      <c r="N4" s="274"/>
      <c r="O4" s="273" t="s">
        <v>8</v>
      </c>
      <c r="P4" s="274"/>
      <c r="Q4" s="273" t="s">
        <v>9</v>
      </c>
      <c r="R4" s="274"/>
      <c r="S4" s="273" t="s">
        <v>10</v>
      </c>
      <c r="T4" s="274"/>
      <c r="U4" s="273" t="s">
        <v>11</v>
      </c>
      <c r="V4" s="274"/>
      <c r="W4" s="273" t="s">
        <v>12</v>
      </c>
      <c r="X4" s="274"/>
      <c r="Y4" s="273" t="s">
        <v>13</v>
      </c>
      <c r="Z4" s="274"/>
      <c r="AA4" s="273" t="s">
        <v>52</v>
      </c>
      <c r="AB4" s="274"/>
      <c r="AC4" s="273" t="s">
        <v>14</v>
      </c>
      <c r="AD4" s="274"/>
    </row>
    <row r="5" spans="1:30" hidden="1">
      <c r="A5" s="277"/>
      <c r="B5" s="277"/>
      <c r="C5" s="43" t="s">
        <v>1</v>
      </c>
      <c r="D5" s="43" t="s">
        <v>15</v>
      </c>
      <c r="E5" s="43" t="s">
        <v>1</v>
      </c>
      <c r="F5" s="43"/>
      <c r="G5" s="43" t="s">
        <v>1</v>
      </c>
      <c r="H5" s="43"/>
      <c r="I5" s="43" t="s">
        <v>1</v>
      </c>
      <c r="J5" s="43" t="s">
        <v>15</v>
      </c>
      <c r="K5" s="43" t="s">
        <v>1</v>
      </c>
      <c r="L5" s="43" t="s">
        <v>15</v>
      </c>
      <c r="M5" s="43" t="s">
        <v>1</v>
      </c>
      <c r="N5" s="43" t="s">
        <v>15</v>
      </c>
      <c r="O5" s="43" t="s">
        <v>1</v>
      </c>
      <c r="P5" s="43" t="s">
        <v>15</v>
      </c>
      <c r="Q5" s="43" t="s">
        <v>1</v>
      </c>
      <c r="R5" s="43" t="s">
        <v>15</v>
      </c>
      <c r="S5" s="43" t="s">
        <v>1</v>
      </c>
      <c r="T5" s="43" t="s">
        <v>15</v>
      </c>
      <c r="U5" s="43" t="s">
        <v>1</v>
      </c>
      <c r="V5" s="43" t="s">
        <v>15</v>
      </c>
      <c r="W5" s="43" t="s">
        <v>1</v>
      </c>
      <c r="X5" s="43" t="s">
        <v>15</v>
      </c>
      <c r="Y5" s="43" t="s">
        <v>1</v>
      </c>
      <c r="Z5" s="43" t="s">
        <v>15</v>
      </c>
      <c r="AA5" s="43"/>
      <c r="AB5" s="43"/>
      <c r="AC5" s="43" t="s">
        <v>1</v>
      </c>
      <c r="AD5" s="43" t="s">
        <v>15</v>
      </c>
    </row>
    <row r="6" spans="1:30" ht="15" hidden="1" customHeight="1">
      <c r="A6" s="12" t="s">
        <v>18</v>
      </c>
      <c r="B6" s="4">
        <f>SUM(B7:B9)</f>
        <v>95169293.230000004</v>
      </c>
      <c r="C6" s="4">
        <f>SUM(C7:C9)</f>
        <v>9315105.1600000001</v>
      </c>
      <c r="D6" s="5">
        <f>+C6/$B6</f>
        <v>9.7879314260407052E-2</v>
      </c>
      <c r="E6" s="4">
        <f t="shared" ref="E6:Y6" si="0">SUM(E7:E9)</f>
        <v>8862453.3399999999</v>
      </c>
      <c r="F6" s="5">
        <f>+E6/$B6</f>
        <v>9.3123034113342648E-2</v>
      </c>
      <c r="G6" s="4">
        <f t="shared" si="0"/>
        <v>8439135.7899999991</v>
      </c>
      <c r="H6" s="5">
        <f>+G6/$B6</f>
        <v>8.8674986474941569E-2</v>
      </c>
      <c r="I6" s="4">
        <f t="shared" si="0"/>
        <v>7759182.7800000003</v>
      </c>
      <c r="J6" s="5">
        <f>+I6/$B6</f>
        <v>8.1530318411086933E-2</v>
      </c>
      <c r="K6" s="4">
        <f t="shared" si="0"/>
        <v>8409287.9299999997</v>
      </c>
      <c r="L6" s="5">
        <f>+K6/$B6</f>
        <v>8.8361357372665233E-2</v>
      </c>
      <c r="M6" s="4">
        <f t="shared" si="0"/>
        <v>6741317.3300000001</v>
      </c>
      <c r="N6" s="5">
        <f>+M6/$B6</f>
        <v>7.0835004665926737E-2</v>
      </c>
      <c r="O6" s="4">
        <f t="shared" si="0"/>
        <v>6567386.6799999997</v>
      </c>
      <c r="P6" s="5">
        <f>+O6/$B6</f>
        <v>6.9007412549847297E-2</v>
      </c>
      <c r="Q6" s="4">
        <f t="shared" si="0"/>
        <v>7545197.75</v>
      </c>
      <c r="R6" s="5">
        <f t="shared" ref="R6:X7" si="1">+Q6/$B6</f>
        <v>7.9281851256005162E-2</v>
      </c>
      <c r="S6" s="4">
        <f t="shared" si="0"/>
        <v>6841803.4100000001</v>
      </c>
      <c r="T6" s="5">
        <f t="shared" si="1"/>
        <v>7.1890871286236196E-2</v>
      </c>
      <c r="U6" s="4">
        <f t="shared" si="0"/>
        <v>7146610.8799999999</v>
      </c>
      <c r="V6" s="5">
        <f t="shared" si="1"/>
        <v>7.5093663485852072E-2</v>
      </c>
      <c r="W6" s="4">
        <f t="shared" si="0"/>
        <v>5934457.9900000002</v>
      </c>
      <c r="X6" s="5">
        <f t="shared" si="1"/>
        <v>6.2356856803148918E-2</v>
      </c>
      <c r="Y6" s="4">
        <f t="shared" si="0"/>
        <v>9079508.9399999995</v>
      </c>
      <c r="Z6" s="5">
        <f>+Y6/$B6</f>
        <v>9.540376556183025E-2</v>
      </c>
      <c r="AA6" s="4">
        <f>SUM(AA7:AA9)</f>
        <v>2527845.25</v>
      </c>
      <c r="AB6" s="5">
        <f>+AA6/$B6</f>
        <v>2.6561563758709862E-2</v>
      </c>
      <c r="AC6" s="4">
        <f t="shared" ref="AC6:AC14" si="2">+C6+E6+G6+I6+K6+M6+O6+Q6+S6+U6+W6+Y6+AA6</f>
        <v>95169293.229999989</v>
      </c>
      <c r="AD6" s="5">
        <f>+AC6/$B6</f>
        <v>0.99999999999999989</v>
      </c>
    </row>
    <row r="7" spans="1:30" hidden="1">
      <c r="A7" s="13" t="s">
        <v>19</v>
      </c>
      <c r="B7" s="6">
        <v>42963206.850000001</v>
      </c>
      <c r="C7" s="6">
        <v>2997146.03</v>
      </c>
      <c r="D7" s="7">
        <f>+C7/$B7</f>
        <v>6.9760761585235337E-2</v>
      </c>
      <c r="E7" s="6">
        <v>2936454.21</v>
      </c>
      <c r="F7" s="7">
        <f>+E7/$B7</f>
        <v>6.8348115173343951E-2</v>
      </c>
      <c r="G7" s="6">
        <v>3019972.74</v>
      </c>
      <c r="H7" s="7">
        <f>+G7/$B7</f>
        <v>7.0292069922615663E-2</v>
      </c>
      <c r="I7" s="6">
        <v>3222451.95</v>
      </c>
      <c r="J7" s="7">
        <f>+I7/$B7</f>
        <v>7.5004921333054544E-2</v>
      </c>
      <c r="K7" s="6">
        <v>3163450.59</v>
      </c>
      <c r="L7" s="7">
        <f>+K7/$B7</f>
        <v>7.3631621611597642E-2</v>
      </c>
      <c r="M7" s="6">
        <v>3242981.19</v>
      </c>
      <c r="N7" s="7">
        <f>+M7/$B7</f>
        <v>7.5482754379169431E-2</v>
      </c>
      <c r="O7" s="6">
        <v>3186682.98</v>
      </c>
      <c r="P7" s="7">
        <f>+O7/$B7</f>
        <v>7.4172372447100038E-2</v>
      </c>
      <c r="Q7" s="6">
        <v>4022534.82</v>
      </c>
      <c r="R7" s="7">
        <f t="shared" si="1"/>
        <v>9.3627434144851307E-2</v>
      </c>
      <c r="S7" s="6">
        <v>3649364.5</v>
      </c>
      <c r="T7" s="7">
        <f t="shared" si="1"/>
        <v>8.494162255488151E-2</v>
      </c>
      <c r="U7" s="6">
        <v>3577418.88</v>
      </c>
      <c r="V7" s="7">
        <f t="shared" si="1"/>
        <v>8.3267035733390546E-2</v>
      </c>
      <c r="W7" s="6">
        <v>3574434.66</v>
      </c>
      <c r="X7" s="7">
        <f t="shared" si="1"/>
        <v>8.3197575834588797E-2</v>
      </c>
      <c r="Y7" s="6">
        <v>6367684.21</v>
      </c>
      <c r="Z7" s="7">
        <f>+Y7/$B7</f>
        <v>0.14821249801561309</v>
      </c>
      <c r="AA7" s="6">
        <v>2630.09</v>
      </c>
      <c r="AB7" s="7">
        <f>+AA7/$B7</f>
        <v>6.1217264558080812E-5</v>
      </c>
      <c r="AC7" s="8">
        <f t="shared" si="2"/>
        <v>42963206.850000001</v>
      </c>
      <c r="AD7" s="7">
        <f>+AC7/$B7</f>
        <v>1</v>
      </c>
    </row>
    <row r="8" spans="1:30" hidden="1">
      <c r="A8" s="13" t="s">
        <v>20</v>
      </c>
      <c r="B8" s="6">
        <v>0</v>
      </c>
      <c r="C8" s="6">
        <v>0</v>
      </c>
      <c r="D8" s="7"/>
      <c r="E8" s="6">
        <v>0</v>
      </c>
      <c r="F8" s="7"/>
      <c r="G8" s="6">
        <v>0</v>
      </c>
      <c r="H8" s="7"/>
      <c r="I8" s="6">
        <v>0</v>
      </c>
      <c r="J8" s="7"/>
      <c r="K8" s="6">
        <v>0</v>
      </c>
      <c r="L8" s="7"/>
      <c r="M8" s="6">
        <v>0</v>
      </c>
      <c r="N8" s="7"/>
      <c r="O8" s="6">
        <v>0</v>
      </c>
      <c r="P8" s="7"/>
      <c r="Q8" s="6">
        <v>0</v>
      </c>
      <c r="R8" s="7"/>
      <c r="S8" s="6">
        <v>0</v>
      </c>
      <c r="T8" s="7"/>
      <c r="U8" s="6">
        <v>0</v>
      </c>
      <c r="V8" s="7"/>
      <c r="W8" s="6">
        <v>0</v>
      </c>
      <c r="X8" s="7"/>
      <c r="Y8" s="6"/>
      <c r="Z8" s="7"/>
      <c r="AA8" s="6">
        <v>0</v>
      </c>
      <c r="AB8" s="7"/>
      <c r="AC8" s="8">
        <f t="shared" si="2"/>
        <v>0</v>
      </c>
      <c r="AD8" s="7"/>
    </row>
    <row r="9" spans="1:30" hidden="1">
      <c r="A9" s="13" t="s">
        <v>21</v>
      </c>
      <c r="B9" s="6">
        <v>52206086.380000003</v>
      </c>
      <c r="C9" s="6">
        <v>6317959.1299999999</v>
      </c>
      <c r="D9" s="7">
        <f>+C9/$B9</f>
        <v>0.1210195892488963</v>
      </c>
      <c r="E9" s="6">
        <v>5925999.1299999999</v>
      </c>
      <c r="F9" s="7">
        <f>+E9/$B9</f>
        <v>0.113511652393661</v>
      </c>
      <c r="G9" s="6">
        <v>5419163.0499999998</v>
      </c>
      <c r="H9" s="7">
        <f>+G9/$B9</f>
        <v>0.1038032809154617</v>
      </c>
      <c r="I9" s="6">
        <v>4536730.83</v>
      </c>
      <c r="J9" s="7">
        <f>+I9/$B9</f>
        <v>8.6900419942951487E-2</v>
      </c>
      <c r="K9" s="6">
        <v>5245837.34</v>
      </c>
      <c r="L9" s="7">
        <f>+K9/$B9</f>
        <v>0.10048325212153165</v>
      </c>
      <c r="M9" s="6">
        <v>3498336.14</v>
      </c>
      <c r="N9" s="7">
        <f>+M9/$B9</f>
        <v>6.7010120516143537E-2</v>
      </c>
      <c r="O9" s="6">
        <v>3380703.7</v>
      </c>
      <c r="P9" s="7">
        <f>+O9/$B9</f>
        <v>6.4756888217829281E-2</v>
      </c>
      <c r="Q9" s="6">
        <v>3522662.93</v>
      </c>
      <c r="R9" s="7">
        <f>+Q9/$B9</f>
        <v>6.7476096644346853E-2</v>
      </c>
      <c r="S9" s="6">
        <v>3192438.91</v>
      </c>
      <c r="T9" s="7">
        <f>+S9/$B9</f>
        <v>6.1150703516879866E-2</v>
      </c>
      <c r="U9" s="6">
        <v>3569192</v>
      </c>
      <c r="V9" s="7">
        <f>+U9/$B9</f>
        <v>6.836735422035671E-2</v>
      </c>
      <c r="W9" s="6">
        <v>2360023.33</v>
      </c>
      <c r="X9" s="7">
        <f>+W9/$B9</f>
        <v>4.5205904017048056E-2</v>
      </c>
      <c r="Y9" s="6">
        <v>2711824.73</v>
      </c>
      <c r="Z9" s="7">
        <f>+Y9/$B9</f>
        <v>5.1944608723608364E-2</v>
      </c>
      <c r="AA9" s="6">
        <f>551329.62+1973885.54</f>
        <v>2525215.16</v>
      </c>
      <c r="AB9" s="7">
        <f>+AA9/$B9</f>
        <v>4.8370129521285138E-2</v>
      </c>
      <c r="AC9" s="8">
        <f t="shared" si="2"/>
        <v>52206086.379999995</v>
      </c>
      <c r="AD9" s="7">
        <f>+AC9/$B9</f>
        <v>0.99999999999999989</v>
      </c>
    </row>
    <row r="10" spans="1:30" hidden="1">
      <c r="A10" s="12" t="s">
        <v>22</v>
      </c>
      <c r="B10" s="4">
        <f>SUM(B11:B13)</f>
        <v>1337597.05</v>
      </c>
      <c r="C10" s="4">
        <f>SUM(C11:C13)</f>
        <v>0</v>
      </c>
      <c r="D10" s="20">
        <f>+C10/B10</f>
        <v>0</v>
      </c>
      <c r="E10" s="4">
        <f t="shared" ref="E10:Y10" si="3">SUM(E11:E13)</f>
        <v>589787.76</v>
      </c>
      <c r="F10" s="5">
        <f>+E10/$B10</f>
        <v>0.4409308169452078</v>
      </c>
      <c r="G10" s="4">
        <f t="shared" si="3"/>
        <v>8097.4</v>
      </c>
      <c r="H10" s="5">
        <f>+G10/$B10</f>
        <v>6.0536915807342722E-3</v>
      </c>
      <c r="I10" s="4">
        <f t="shared" si="3"/>
        <v>27215.07</v>
      </c>
      <c r="J10" s="5">
        <f>+I10/$B10</f>
        <v>2.0346239549496613E-2</v>
      </c>
      <c r="K10" s="4">
        <f t="shared" si="3"/>
        <v>66679.600000000006</v>
      </c>
      <c r="L10" s="5">
        <f>+K10/$B10</f>
        <v>4.9850289367788306E-2</v>
      </c>
      <c r="M10" s="4">
        <f t="shared" si="3"/>
        <v>159577.93</v>
      </c>
      <c r="N10" s="5">
        <f t="shared" ref="N10:P11" si="4">+M10/$B10</f>
        <v>0.11930194523081521</v>
      </c>
      <c r="O10" s="4">
        <f t="shared" si="3"/>
        <v>185960</v>
      </c>
      <c r="P10" s="5">
        <f t="shared" si="4"/>
        <v>0.13902542622982011</v>
      </c>
      <c r="Q10" s="4">
        <f t="shared" si="3"/>
        <v>124994.83</v>
      </c>
      <c r="R10" s="5">
        <f>+Q10/$B10</f>
        <v>9.3447297898870213E-2</v>
      </c>
      <c r="S10" s="4">
        <f t="shared" si="3"/>
        <v>19244.14</v>
      </c>
      <c r="T10" s="5">
        <f>+S10/$B10</f>
        <v>1.4387098117478653E-2</v>
      </c>
      <c r="U10" s="4">
        <f t="shared" si="3"/>
        <v>2849.88</v>
      </c>
      <c r="V10" s="5">
        <f>+U10/$B10</f>
        <v>2.1305968041720785E-3</v>
      </c>
      <c r="W10" s="4">
        <f t="shared" si="3"/>
        <v>1205</v>
      </c>
      <c r="X10" s="5">
        <f>+W10/$B10</f>
        <v>9.0086921169570458E-4</v>
      </c>
      <c r="Y10" s="4">
        <f t="shared" si="3"/>
        <v>37018</v>
      </c>
      <c r="Z10" s="5">
        <f>+Y10/$B10</f>
        <v>2.767500122701377E-2</v>
      </c>
      <c r="AA10" s="4">
        <f>SUM(AA11:AA13)</f>
        <v>114967.44</v>
      </c>
      <c r="AB10" s="5">
        <f>+AA10/$B10</f>
        <v>8.5950727836907229E-2</v>
      </c>
      <c r="AC10" s="4">
        <f t="shared" si="2"/>
        <v>1337597.0499999998</v>
      </c>
      <c r="AD10" s="5">
        <f>+AC10/$B10</f>
        <v>0.99999999999999978</v>
      </c>
    </row>
    <row r="11" spans="1:30" hidden="1">
      <c r="A11" s="14" t="s">
        <v>23</v>
      </c>
      <c r="B11" s="6">
        <v>1337597.05</v>
      </c>
      <c r="C11" s="6">
        <v>0</v>
      </c>
      <c r="D11" s="19">
        <f>+C11/B11</f>
        <v>0</v>
      </c>
      <c r="E11" s="6">
        <v>589787.76</v>
      </c>
      <c r="F11" s="7">
        <f>+E11/$B11</f>
        <v>0.4409308169452078</v>
      </c>
      <c r="G11" s="6">
        <v>8097.4</v>
      </c>
      <c r="H11" s="7">
        <f>+G11/$B11</f>
        <v>6.0536915807342722E-3</v>
      </c>
      <c r="I11" s="6">
        <v>27215.07</v>
      </c>
      <c r="J11" s="7">
        <f>+I11/$B11</f>
        <v>2.0346239549496613E-2</v>
      </c>
      <c r="K11" s="6">
        <v>66679.600000000006</v>
      </c>
      <c r="L11" s="7">
        <f>+K11/$B11</f>
        <v>4.9850289367788306E-2</v>
      </c>
      <c r="M11" s="6">
        <v>159577.93</v>
      </c>
      <c r="N11" s="7">
        <f t="shared" si="4"/>
        <v>0.11930194523081521</v>
      </c>
      <c r="O11" s="6">
        <v>185960</v>
      </c>
      <c r="P11" s="7">
        <f t="shared" si="4"/>
        <v>0.13902542622982011</v>
      </c>
      <c r="Q11" s="6">
        <v>124994.83</v>
      </c>
      <c r="R11" s="7">
        <f>+Q11/$B11</f>
        <v>9.3447297898870213E-2</v>
      </c>
      <c r="S11" s="6">
        <v>19244.14</v>
      </c>
      <c r="T11" s="7">
        <f>+S11/$B11</f>
        <v>1.4387098117478653E-2</v>
      </c>
      <c r="U11" s="6">
        <v>2849.88</v>
      </c>
      <c r="V11" s="7">
        <f>+U11/$B11</f>
        <v>2.1305968041720785E-3</v>
      </c>
      <c r="W11" s="6">
        <v>1205</v>
      </c>
      <c r="X11" s="7">
        <f>+W11/$B11</f>
        <v>9.0086921169570458E-4</v>
      </c>
      <c r="Y11" s="6">
        <v>37018</v>
      </c>
      <c r="Z11" s="7">
        <f>+Y11/$B11</f>
        <v>2.767500122701377E-2</v>
      </c>
      <c r="AA11" s="6">
        <f>72180+42787.44</f>
        <v>114967.44</v>
      </c>
      <c r="AB11" s="7">
        <f>+AA11/$B11</f>
        <v>8.5950727836907229E-2</v>
      </c>
      <c r="AC11" s="8">
        <f t="shared" si="2"/>
        <v>1337597.0499999998</v>
      </c>
      <c r="AD11" s="7">
        <f>+AC11/$B11</f>
        <v>0.99999999999999978</v>
      </c>
    </row>
    <row r="12" spans="1:30" hidden="1">
      <c r="A12" s="13" t="s">
        <v>24</v>
      </c>
      <c r="B12" s="6">
        <v>0</v>
      </c>
      <c r="C12" s="6">
        <v>0</v>
      </c>
      <c r="D12" s="19"/>
      <c r="E12" s="6">
        <v>0</v>
      </c>
      <c r="F12" s="7"/>
      <c r="G12" s="6">
        <v>0</v>
      </c>
      <c r="H12" s="7"/>
      <c r="I12" s="6">
        <v>0</v>
      </c>
      <c r="J12" s="7"/>
      <c r="K12" s="6">
        <v>0</v>
      </c>
      <c r="L12" s="7"/>
      <c r="M12" s="6">
        <v>0</v>
      </c>
      <c r="N12" s="7"/>
      <c r="O12" s="6">
        <v>0</v>
      </c>
      <c r="P12" s="7"/>
      <c r="Q12" s="6">
        <v>0</v>
      </c>
      <c r="R12" s="7"/>
      <c r="S12" s="6">
        <v>0</v>
      </c>
      <c r="T12" s="7"/>
      <c r="U12" s="6">
        <v>0</v>
      </c>
      <c r="V12" s="7"/>
      <c r="W12" s="6">
        <v>0</v>
      </c>
      <c r="X12" s="7"/>
      <c r="Y12" s="6">
        <v>0</v>
      </c>
      <c r="Z12" s="7"/>
      <c r="AA12" s="6"/>
      <c r="AB12" s="7"/>
      <c r="AC12" s="8">
        <f t="shared" si="2"/>
        <v>0</v>
      </c>
      <c r="AD12" s="7"/>
    </row>
    <row r="13" spans="1:30" hidden="1">
      <c r="A13" s="13" t="s">
        <v>25</v>
      </c>
      <c r="B13" s="6">
        <v>0</v>
      </c>
      <c r="C13" s="6">
        <v>0</v>
      </c>
      <c r="D13" s="19"/>
      <c r="E13" s="6">
        <v>0</v>
      </c>
      <c r="F13" s="7"/>
      <c r="G13" s="6">
        <v>0</v>
      </c>
      <c r="H13" s="7"/>
      <c r="I13" s="6">
        <v>0</v>
      </c>
      <c r="J13" s="7"/>
      <c r="K13" s="6">
        <v>0</v>
      </c>
      <c r="L13" s="7"/>
      <c r="M13" s="6">
        <v>0</v>
      </c>
      <c r="N13" s="7"/>
      <c r="O13" s="6">
        <v>0</v>
      </c>
      <c r="P13" s="7"/>
      <c r="Q13" s="6">
        <v>0</v>
      </c>
      <c r="R13" s="7"/>
      <c r="S13" s="6">
        <v>0</v>
      </c>
      <c r="T13" s="7"/>
      <c r="U13" s="6">
        <v>0</v>
      </c>
      <c r="V13" s="7"/>
      <c r="W13" s="6">
        <v>0</v>
      </c>
      <c r="X13" s="7"/>
      <c r="Y13" s="6">
        <v>0</v>
      </c>
      <c r="Z13" s="7"/>
      <c r="AA13" s="6"/>
      <c r="AB13" s="7"/>
      <c r="AC13" s="8">
        <f t="shared" si="2"/>
        <v>0</v>
      </c>
      <c r="AD13" s="7"/>
    </row>
    <row r="14" spans="1:30" hidden="1">
      <c r="A14" s="15" t="s">
        <v>17</v>
      </c>
      <c r="B14" s="16">
        <f>+B6+B10</f>
        <v>96506890.280000001</v>
      </c>
      <c r="C14" s="16">
        <f>+C6+C10</f>
        <v>9315105.1600000001</v>
      </c>
      <c r="D14" s="17">
        <f t="shared" ref="D14:Z14" si="5">+D6+D10</f>
        <v>9.7879314260407052E-2</v>
      </c>
      <c r="E14" s="16">
        <f t="shared" si="5"/>
        <v>9452241.0999999996</v>
      </c>
      <c r="F14" s="17">
        <f t="shared" si="5"/>
        <v>0.53405385105855041</v>
      </c>
      <c r="G14" s="16">
        <f t="shared" si="5"/>
        <v>8447233.1899999995</v>
      </c>
      <c r="H14" s="17">
        <f t="shared" si="5"/>
        <v>9.4728678055675836E-2</v>
      </c>
      <c r="I14" s="16">
        <f t="shared" si="5"/>
        <v>7786397.8500000006</v>
      </c>
      <c r="J14" s="17">
        <f t="shared" si="5"/>
        <v>0.10187655796058355</v>
      </c>
      <c r="K14" s="16">
        <f t="shared" si="5"/>
        <v>8475967.5299999993</v>
      </c>
      <c r="L14" s="17">
        <f t="shared" si="5"/>
        <v>0.13821164674045355</v>
      </c>
      <c r="M14" s="16">
        <f t="shared" si="5"/>
        <v>6900895.2599999998</v>
      </c>
      <c r="N14" s="17">
        <f t="shared" si="5"/>
        <v>0.19013694989674196</v>
      </c>
      <c r="O14" s="16">
        <f t="shared" si="5"/>
        <v>6753346.6799999997</v>
      </c>
      <c r="P14" s="17">
        <f t="shared" si="5"/>
        <v>0.20803283877966741</v>
      </c>
      <c r="Q14" s="16">
        <f t="shared" si="5"/>
        <v>7670192.5800000001</v>
      </c>
      <c r="R14" s="17">
        <f t="shared" si="5"/>
        <v>0.17272914915487536</v>
      </c>
      <c r="S14" s="16">
        <f t="shared" si="5"/>
        <v>6861047.5499999998</v>
      </c>
      <c r="T14" s="17">
        <f t="shared" si="5"/>
        <v>8.6277969403714849E-2</v>
      </c>
      <c r="U14" s="16">
        <f t="shared" si="5"/>
        <v>7149460.7599999998</v>
      </c>
      <c r="V14" s="17">
        <f t="shared" si="5"/>
        <v>7.7224260290024146E-2</v>
      </c>
      <c r="W14" s="16">
        <f t="shared" si="5"/>
        <v>5935662.9900000002</v>
      </c>
      <c r="X14" s="17">
        <f t="shared" si="5"/>
        <v>6.3257726014844626E-2</v>
      </c>
      <c r="Y14" s="16">
        <f t="shared" si="5"/>
        <v>9116526.9399999995</v>
      </c>
      <c r="Z14" s="17">
        <f t="shared" si="5"/>
        <v>0.12307876678884402</v>
      </c>
      <c r="AA14" s="24">
        <f>+AA6+AA10</f>
        <v>2642812.69</v>
      </c>
      <c r="AB14" s="17">
        <f>+AB6+AB10</f>
        <v>0.1125122915956171</v>
      </c>
      <c r="AC14" s="16">
        <f t="shared" si="2"/>
        <v>96506890.279999986</v>
      </c>
      <c r="AD14" s="17">
        <f>+AC14/B14</f>
        <v>0.99999999999999989</v>
      </c>
    </row>
    <row r="15" spans="1:30" hidden="1"/>
    <row r="16" spans="1:30" ht="18" hidden="1" customHeight="1">
      <c r="A16" s="262" t="s">
        <v>0</v>
      </c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</row>
    <row r="17" spans="1:32" ht="18" hidden="1" customHeight="1">
      <c r="A17" s="262" t="s">
        <v>37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</row>
    <row r="18" spans="1:32" hidden="1">
      <c r="A18" s="21"/>
      <c r="B18" s="21"/>
      <c r="C18" s="9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2" ht="23.25" hidden="1" customHeight="1">
      <c r="A19" s="276" t="s">
        <v>26</v>
      </c>
      <c r="B19" s="276" t="s">
        <v>51</v>
      </c>
      <c r="C19" s="275" t="s">
        <v>2</v>
      </c>
      <c r="D19" s="275"/>
      <c r="E19" s="275" t="s">
        <v>3</v>
      </c>
      <c r="F19" s="275"/>
      <c r="G19" s="275" t="s">
        <v>4</v>
      </c>
      <c r="H19" s="275"/>
      <c r="I19" s="275" t="s">
        <v>5</v>
      </c>
      <c r="J19" s="275"/>
      <c r="K19" s="275" t="s">
        <v>6</v>
      </c>
      <c r="L19" s="275"/>
      <c r="M19" s="275" t="s">
        <v>7</v>
      </c>
      <c r="N19" s="275"/>
      <c r="O19" s="275" t="s">
        <v>8</v>
      </c>
      <c r="P19" s="275"/>
      <c r="Q19" s="275" t="s">
        <v>9</v>
      </c>
      <c r="R19" s="275"/>
      <c r="S19" s="275" t="s">
        <v>10</v>
      </c>
      <c r="T19" s="275"/>
      <c r="U19" s="275" t="s">
        <v>11</v>
      </c>
      <c r="V19" s="275"/>
      <c r="W19" s="275" t="s">
        <v>12</v>
      </c>
      <c r="X19" s="275"/>
      <c r="Y19" s="275" t="s">
        <v>13</v>
      </c>
      <c r="Z19" s="275"/>
      <c r="AA19" s="275" t="s">
        <v>52</v>
      </c>
      <c r="AB19" s="275"/>
      <c r="AC19" s="275" t="s">
        <v>14</v>
      </c>
      <c r="AD19" s="275"/>
    </row>
    <row r="20" spans="1:32" hidden="1">
      <c r="A20" s="277"/>
      <c r="B20" s="277"/>
      <c r="C20" s="43" t="s">
        <v>1</v>
      </c>
      <c r="D20" s="43" t="s">
        <v>15</v>
      </c>
      <c r="E20" s="43" t="s">
        <v>1</v>
      </c>
      <c r="F20" s="43"/>
      <c r="G20" s="43" t="s">
        <v>1</v>
      </c>
      <c r="H20" s="43"/>
      <c r="I20" s="43" t="s">
        <v>1</v>
      </c>
      <c r="J20" s="43" t="s">
        <v>15</v>
      </c>
      <c r="K20" s="43" t="s">
        <v>1</v>
      </c>
      <c r="L20" s="43" t="s">
        <v>15</v>
      </c>
      <c r="M20" s="43" t="s">
        <v>1</v>
      </c>
      <c r="N20" s="43" t="s">
        <v>15</v>
      </c>
      <c r="O20" s="43" t="s">
        <v>1</v>
      </c>
      <c r="P20" s="43" t="s">
        <v>15</v>
      </c>
      <c r="Q20" s="43" t="s">
        <v>1</v>
      </c>
      <c r="R20" s="43" t="s">
        <v>15</v>
      </c>
      <c r="S20" s="43" t="s">
        <v>1</v>
      </c>
      <c r="T20" s="43" t="s">
        <v>15</v>
      </c>
      <c r="U20" s="43" t="s">
        <v>1</v>
      </c>
      <c r="V20" s="43" t="s">
        <v>15</v>
      </c>
      <c r="W20" s="43" t="s">
        <v>1</v>
      </c>
      <c r="X20" s="43" t="s">
        <v>15</v>
      </c>
      <c r="Y20" s="43" t="s">
        <v>1</v>
      </c>
      <c r="Z20" s="43" t="s">
        <v>15</v>
      </c>
      <c r="AA20" s="43"/>
      <c r="AB20" s="43"/>
      <c r="AC20" s="43" t="s">
        <v>1</v>
      </c>
      <c r="AD20" s="43" t="s">
        <v>15</v>
      </c>
    </row>
    <row r="21" spans="1:32" hidden="1">
      <c r="A21" s="12" t="s">
        <v>18</v>
      </c>
      <c r="B21" s="4">
        <f>SUM(B22:B24)</f>
        <v>103537061.00999999</v>
      </c>
      <c r="C21" s="4">
        <f>SUM(C22:C24)</f>
        <v>10852902.039999999</v>
      </c>
      <c r="D21" s="5">
        <f>+C21/$B21</f>
        <v>0.10482142272660981</v>
      </c>
      <c r="E21" s="4">
        <f>SUM(E22:E24)</f>
        <v>8881121.4100000001</v>
      </c>
      <c r="F21" s="5">
        <f>+E21/$B21</f>
        <v>8.5777221444814131E-2</v>
      </c>
      <c r="G21" s="4">
        <f>SUM(G22:G24)</f>
        <v>9086432.7599999998</v>
      </c>
      <c r="H21" s="5">
        <f>+G21/$B21</f>
        <v>8.7760195927547135E-2</v>
      </c>
      <c r="I21" s="4">
        <f>SUM(I22:I24)</f>
        <v>7307948.0800000001</v>
      </c>
      <c r="J21" s="5">
        <f t="shared" ref="J21:J26" si="6">+I21/$B21</f>
        <v>7.0582919861847074E-2</v>
      </c>
      <c r="K21" s="4">
        <f>SUM(K22:K24)</f>
        <v>6756968.4900000002</v>
      </c>
      <c r="L21" s="5">
        <f>+K21/$B21</f>
        <v>6.5261351095791564E-2</v>
      </c>
      <c r="M21" s="4">
        <f>SUM(M22:M24)</f>
        <v>8929643.2300000004</v>
      </c>
      <c r="N21" s="5">
        <f>+M21/$B21</f>
        <v>8.6245863489765678E-2</v>
      </c>
      <c r="O21" s="4">
        <f>SUM(O22:O24)</f>
        <v>8123076.629999999</v>
      </c>
      <c r="P21" s="5">
        <f>+O21/$B21</f>
        <v>7.8455738947577833E-2</v>
      </c>
      <c r="Q21" s="4">
        <f>SUM(Q22:Q24)</f>
        <v>6574787.4000000004</v>
      </c>
      <c r="R21" s="5">
        <f>+Q21/$B21</f>
        <v>6.3501777391237552E-2</v>
      </c>
      <c r="S21" s="4">
        <f>SUM(S22:S24)</f>
        <v>8767437.709999999</v>
      </c>
      <c r="T21" s="5">
        <f>+S21/$B21</f>
        <v>8.4679221377099045E-2</v>
      </c>
      <c r="U21" s="4">
        <f>SUM(U22:U24)</f>
        <v>7266009.71</v>
      </c>
      <c r="V21" s="5">
        <f>+U21/$B21</f>
        <v>7.0177863260945966E-2</v>
      </c>
      <c r="W21" s="4">
        <f>SUM(W22:W24)</f>
        <v>7009758.8600000003</v>
      </c>
      <c r="X21" s="5">
        <f>+W21/$B21</f>
        <v>6.7702895867625332E-2</v>
      </c>
      <c r="Y21" s="4">
        <f>SUM(Y22:Y24)</f>
        <v>10978735.869999999</v>
      </c>
      <c r="Z21" s="5">
        <f>+Y21/$B21</f>
        <v>0.10603677333413619</v>
      </c>
      <c r="AA21" s="4">
        <f>SUM(AA22:AA24)</f>
        <v>3002238.82</v>
      </c>
      <c r="AB21" s="5">
        <f>+AA21/$B21</f>
        <v>2.8996755275002759E-2</v>
      </c>
      <c r="AC21" s="4">
        <f t="shared" ref="AC21:AC29" si="7">+C21+E21+G21+I21+K21+M21+O21+Q21+S21+U21+W21+Y21+AA21</f>
        <v>103537061.00999999</v>
      </c>
      <c r="AD21" s="5">
        <f>+AC21/$B21</f>
        <v>1</v>
      </c>
      <c r="AF21" s="26"/>
    </row>
    <row r="22" spans="1:32" hidden="1">
      <c r="A22" s="13" t="s">
        <v>19</v>
      </c>
      <c r="B22" s="6">
        <v>52254421.780000001</v>
      </c>
      <c r="C22" s="30">
        <v>3625368.44</v>
      </c>
      <c r="D22" s="114">
        <f>+C22/$B22</f>
        <v>6.937917053724979E-2</v>
      </c>
      <c r="E22" s="30">
        <v>3536179.4</v>
      </c>
      <c r="F22" s="114">
        <f>+E22/$B22</f>
        <v>6.7672347708446878E-2</v>
      </c>
      <c r="G22" s="30">
        <v>3747498.31</v>
      </c>
      <c r="H22" s="114">
        <f>+G22/$B22</f>
        <v>7.1716386524715653E-2</v>
      </c>
      <c r="I22" s="30">
        <v>3808416.45</v>
      </c>
      <c r="J22" s="114">
        <f t="shared" si="6"/>
        <v>7.2882185282502621E-2</v>
      </c>
      <c r="K22" s="30">
        <v>3676544.24</v>
      </c>
      <c r="L22" s="114">
        <f>+K22/$B22</f>
        <v>7.0358528805062215E-2</v>
      </c>
      <c r="M22" s="30">
        <v>3816892.35</v>
      </c>
      <c r="N22" s="114">
        <f>+M22/$B22</f>
        <v>7.3044389737384627E-2</v>
      </c>
      <c r="O22" s="30">
        <v>4897823.5999999996</v>
      </c>
      <c r="P22" s="114">
        <f>+O22/$B22</f>
        <v>9.3730318567501705E-2</v>
      </c>
      <c r="Q22" s="30">
        <v>4289732.07</v>
      </c>
      <c r="R22" s="114">
        <f>+Q22/$B22</f>
        <v>8.2093187980540702E-2</v>
      </c>
      <c r="S22" s="30">
        <v>4960901.8099999996</v>
      </c>
      <c r="T22" s="114">
        <f>+S22/$B22</f>
        <v>9.4937454879631802E-2</v>
      </c>
      <c r="U22" s="30">
        <v>4065974.65</v>
      </c>
      <c r="V22" s="114">
        <f>+U22/$B22</f>
        <v>7.7811111701100513E-2</v>
      </c>
      <c r="W22" s="30">
        <v>3987954.43</v>
      </c>
      <c r="X22" s="114">
        <f>+W22/$B22</f>
        <v>7.6318028104683008E-2</v>
      </c>
      <c r="Y22" s="30">
        <v>7459089.5099999998</v>
      </c>
      <c r="Z22" s="114">
        <f>+Y22/$B22</f>
        <v>0.14274561378564354</v>
      </c>
      <c r="AA22" s="30">
        <f>1195.57+380850.95</f>
        <v>382046.52</v>
      </c>
      <c r="AB22" s="114">
        <f>+AA22/$B22</f>
        <v>7.3112763855369177E-3</v>
      </c>
      <c r="AC22" s="30">
        <f t="shared" si="7"/>
        <v>52254421.780000009</v>
      </c>
      <c r="AD22" s="114">
        <f>+AC22/$B22</f>
        <v>1.0000000000000002</v>
      </c>
    </row>
    <row r="23" spans="1:32" hidden="1">
      <c r="A23" s="13" t="s">
        <v>20</v>
      </c>
      <c r="B23" s="6">
        <v>0</v>
      </c>
      <c r="C23" s="30">
        <v>0</v>
      </c>
      <c r="D23" s="114"/>
      <c r="E23" s="30">
        <v>0</v>
      </c>
      <c r="F23" s="114"/>
      <c r="G23" s="30">
        <v>0</v>
      </c>
      <c r="H23" s="114"/>
      <c r="I23" s="30">
        <v>0</v>
      </c>
      <c r="J23" s="114"/>
      <c r="K23" s="30">
        <v>0</v>
      </c>
      <c r="L23" s="114"/>
      <c r="M23" s="30">
        <v>0</v>
      </c>
      <c r="N23" s="114"/>
      <c r="O23" s="30">
        <v>0</v>
      </c>
      <c r="P23" s="114"/>
      <c r="Q23" s="30">
        <v>0</v>
      </c>
      <c r="R23" s="114"/>
      <c r="S23" s="30">
        <v>0</v>
      </c>
      <c r="T23" s="114"/>
      <c r="U23" s="30">
        <v>0</v>
      </c>
      <c r="V23" s="114"/>
      <c r="W23" s="30">
        <v>0</v>
      </c>
      <c r="X23" s="114"/>
      <c r="Y23" s="30"/>
      <c r="Z23" s="114"/>
      <c r="AA23" s="30">
        <v>0</v>
      </c>
      <c r="AB23" s="114"/>
      <c r="AC23" s="30">
        <f t="shared" si="7"/>
        <v>0</v>
      </c>
      <c r="AD23" s="114"/>
      <c r="AF23" s="26"/>
    </row>
    <row r="24" spans="1:32" hidden="1">
      <c r="A24" s="13" t="s">
        <v>21</v>
      </c>
      <c r="B24" s="6">
        <v>51282639.229999997</v>
      </c>
      <c r="C24" s="30">
        <v>7227533.5999999996</v>
      </c>
      <c r="D24" s="114">
        <f>+C24/$B24</f>
        <v>0.14093528937902131</v>
      </c>
      <c r="E24" s="30">
        <v>5344942.01</v>
      </c>
      <c r="F24" s="114">
        <f>+E24/$B24</f>
        <v>0.10422517425494054</v>
      </c>
      <c r="G24" s="30">
        <v>5338934.45</v>
      </c>
      <c r="H24" s="114">
        <f>+G24/$B24</f>
        <v>0.10410802817801856</v>
      </c>
      <c r="I24" s="30">
        <v>3499531.63</v>
      </c>
      <c r="J24" s="114">
        <f t="shared" si="6"/>
        <v>6.8240084413455804E-2</v>
      </c>
      <c r="K24" s="30">
        <v>3080424.25</v>
      </c>
      <c r="L24" s="114">
        <f>+K24/$B24</f>
        <v>6.0067584201048151E-2</v>
      </c>
      <c r="M24" s="30">
        <v>5112750.88</v>
      </c>
      <c r="N24" s="114">
        <f>+M24/$B24</f>
        <v>9.9697499129667952E-2</v>
      </c>
      <c r="O24" s="30">
        <v>3225253.03</v>
      </c>
      <c r="P24" s="114">
        <f>+O24/$B24</f>
        <v>6.2891713032453458E-2</v>
      </c>
      <c r="Q24" s="30">
        <v>2285055.33</v>
      </c>
      <c r="R24" s="114">
        <f>+Q24/$B24</f>
        <v>4.455806807741787E-2</v>
      </c>
      <c r="S24" s="30">
        <v>3806535.9</v>
      </c>
      <c r="T24" s="114">
        <f>+S24/$B24</f>
        <v>7.4226599043155372E-2</v>
      </c>
      <c r="U24" s="30">
        <v>3200035.06</v>
      </c>
      <c r="V24" s="114">
        <f>+U24/$B24</f>
        <v>6.2399968255299955E-2</v>
      </c>
      <c r="W24" s="30">
        <v>3021804.43</v>
      </c>
      <c r="X24" s="114">
        <f>+W24/$B24</f>
        <v>5.8924510816367362E-2</v>
      </c>
      <c r="Y24" s="30">
        <v>3519646.36</v>
      </c>
      <c r="Z24" s="114">
        <f>+Y24/$B24</f>
        <v>6.8632317151513342E-2</v>
      </c>
      <c r="AA24" s="30">
        <f>1217027.28+1403165.02</f>
        <v>2620192.2999999998</v>
      </c>
      <c r="AB24" s="114">
        <f>+AA24/$B24</f>
        <v>5.1093164067640362E-2</v>
      </c>
      <c r="AC24" s="30">
        <f t="shared" si="7"/>
        <v>51282639.229999997</v>
      </c>
      <c r="AD24" s="114">
        <f>+AC24/$B24</f>
        <v>1</v>
      </c>
    </row>
    <row r="25" spans="1:32" hidden="1">
      <c r="A25" s="12" t="s">
        <v>22</v>
      </c>
      <c r="B25" s="4">
        <f>SUM(B26:B28)</f>
        <v>615048.01</v>
      </c>
      <c r="C25" s="4">
        <f>SUM(C26:C28)</f>
        <v>0</v>
      </c>
      <c r="D25" s="20">
        <f>+C25/B25</f>
        <v>0</v>
      </c>
      <c r="E25" s="4">
        <f>SUM(E26:E28)</f>
        <v>0</v>
      </c>
      <c r="F25" s="5">
        <f>+E25/$B25</f>
        <v>0</v>
      </c>
      <c r="G25" s="4">
        <f>SUM(G26:G28)</f>
        <v>0</v>
      </c>
      <c r="H25" s="5">
        <f>+G25/$B25</f>
        <v>0</v>
      </c>
      <c r="I25" s="4">
        <f>SUM(I26:I28)</f>
        <v>8296.7999999999993</v>
      </c>
      <c r="J25" s="5">
        <f t="shared" si="6"/>
        <v>1.3489678635006068E-2</v>
      </c>
      <c r="K25" s="4">
        <f>SUM(K26:K28)</f>
        <v>7444.98</v>
      </c>
      <c r="L25" s="5">
        <f>+K25/$B25</f>
        <v>1.2104713581627553E-2</v>
      </c>
      <c r="M25" s="4">
        <f>SUM(M26:M28)</f>
        <v>627.24</v>
      </c>
      <c r="N25" s="5">
        <f>+M25/$B25</f>
        <v>1.0198228265139821E-3</v>
      </c>
      <c r="O25" s="4">
        <f>SUM(O26:O28)</f>
        <v>6902</v>
      </c>
      <c r="P25" s="5">
        <f>+O25/$B25</f>
        <v>1.1221888190484511E-2</v>
      </c>
      <c r="Q25" s="4">
        <f>SUM(Q26:Q28)</f>
        <v>0</v>
      </c>
      <c r="R25" s="5">
        <f>+Q25/$B25</f>
        <v>0</v>
      </c>
      <c r="S25" s="4">
        <f>SUM(S26:S28)</f>
        <v>17936.5</v>
      </c>
      <c r="T25" s="5">
        <f>+S25/$B25</f>
        <v>2.9162764058044834E-2</v>
      </c>
      <c r="U25" s="4">
        <f>SUM(U26:U28)</f>
        <v>3140</v>
      </c>
      <c r="V25" s="5">
        <f>+U25/$B25</f>
        <v>5.1052925120430841E-3</v>
      </c>
      <c r="W25" s="4">
        <f>SUM(W26:W28)</f>
        <v>3145</v>
      </c>
      <c r="X25" s="5">
        <f>+W25/$B25</f>
        <v>5.1134219587183121E-3</v>
      </c>
      <c r="Y25" s="4">
        <f>SUM(Y26:Y28)</f>
        <v>15796</v>
      </c>
      <c r="Z25" s="5">
        <f>+Y25/$B25</f>
        <v>2.5682547936379797E-2</v>
      </c>
      <c r="AA25" s="4">
        <f>SUM(AA26:AA28)</f>
        <v>551759.49</v>
      </c>
      <c r="AB25" s="5">
        <f>+AA25/$B25</f>
        <v>0.89709987030118188</v>
      </c>
      <c r="AC25" s="4">
        <f t="shared" si="7"/>
        <v>615048.01</v>
      </c>
      <c r="AD25" s="5">
        <f>+AC25/$B25</f>
        <v>1</v>
      </c>
    </row>
    <row r="26" spans="1:32" hidden="1">
      <c r="A26" s="14" t="s">
        <v>23</v>
      </c>
      <c r="B26" s="30">
        <v>615048.01</v>
      </c>
      <c r="C26" s="30">
        <v>0</v>
      </c>
      <c r="D26" s="115">
        <f>+C26/B26</f>
        <v>0</v>
      </c>
      <c r="E26" s="30">
        <v>0</v>
      </c>
      <c r="F26" s="114">
        <f>+E26/$B26</f>
        <v>0</v>
      </c>
      <c r="G26" s="30">
        <v>0</v>
      </c>
      <c r="H26" s="114">
        <f>+G26/$B26</f>
        <v>0</v>
      </c>
      <c r="I26" s="30">
        <v>8296.7999999999993</v>
      </c>
      <c r="J26" s="114">
        <f t="shared" si="6"/>
        <v>1.3489678635006068E-2</v>
      </c>
      <c r="K26" s="30">
        <v>7444.98</v>
      </c>
      <c r="L26" s="114">
        <f>+K26/$B26</f>
        <v>1.2104713581627553E-2</v>
      </c>
      <c r="M26" s="30">
        <v>627.24</v>
      </c>
      <c r="N26" s="114">
        <f>+M26/$B26</f>
        <v>1.0198228265139821E-3</v>
      </c>
      <c r="O26" s="30">
        <v>6902</v>
      </c>
      <c r="P26" s="114">
        <f>+O26/$B26</f>
        <v>1.1221888190484511E-2</v>
      </c>
      <c r="Q26" s="30"/>
      <c r="R26" s="114">
        <f>+Q26/$B26</f>
        <v>0</v>
      </c>
      <c r="S26" s="30">
        <v>17936.5</v>
      </c>
      <c r="T26" s="114">
        <f>+S26/$B26</f>
        <v>2.9162764058044834E-2</v>
      </c>
      <c r="U26" s="30">
        <v>3140</v>
      </c>
      <c r="V26" s="114">
        <f>+U26/$B26</f>
        <v>5.1052925120430841E-3</v>
      </c>
      <c r="W26" s="30">
        <v>3145</v>
      </c>
      <c r="X26" s="114">
        <f>+W26/$B26</f>
        <v>5.1134219587183121E-3</v>
      </c>
      <c r="Y26" s="30">
        <v>15796</v>
      </c>
      <c r="Z26" s="114">
        <f>+Y26/$B26</f>
        <v>2.5682547936379797E-2</v>
      </c>
      <c r="AA26" s="30">
        <v>551759.49</v>
      </c>
      <c r="AB26" s="114">
        <f>+AA26/$B26</f>
        <v>0.89709987030118188</v>
      </c>
      <c r="AC26" s="30">
        <f t="shared" si="7"/>
        <v>615048.01</v>
      </c>
      <c r="AD26" s="114">
        <f>+AC26/$B26</f>
        <v>1</v>
      </c>
    </row>
    <row r="27" spans="1:32" hidden="1">
      <c r="A27" s="13" t="s">
        <v>24</v>
      </c>
      <c r="B27" s="6">
        <v>0</v>
      </c>
      <c r="C27" s="6">
        <v>0</v>
      </c>
      <c r="D27" s="19"/>
      <c r="E27" s="6">
        <v>0</v>
      </c>
      <c r="F27" s="7"/>
      <c r="G27" s="6">
        <v>0</v>
      </c>
      <c r="H27" s="7"/>
      <c r="I27" s="6">
        <v>0</v>
      </c>
      <c r="J27" s="7"/>
      <c r="K27" s="6">
        <v>0</v>
      </c>
      <c r="L27" s="7"/>
      <c r="M27" s="6">
        <v>0</v>
      </c>
      <c r="N27" s="7"/>
      <c r="O27" s="6">
        <v>0</v>
      </c>
      <c r="P27" s="7"/>
      <c r="Q27" s="6">
        <v>0</v>
      </c>
      <c r="R27" s="7"/>
      <c r="S27" s="6">
        <v>0</v>
      </c>
      <c r="T27" s="7"/>
      <c r="U27" s="6">
        <v>0</v>
      </c>
      <c r="V27" s="7"/>
      <c r="W27" s="6">
        <v>0</v>
      </c>
      <c r="X27" s="7"/>
      <c r="Y27" s="6">
        <v>0</v>
      </c>
      <c r="Z27" s="7"/>
      <c r="AA27" s="6"/>
      <c r="AB27" s="7"/>
      <c r="AC27" s="8">
        <f t="shared" si="7"/>
        <v>0</v>
      </c>
      <c r="AD27" s="7"/>
    </row>
    <row r="28" spans="1:32" hidden="1">
      <c r="A28" s="13" t="s">
        <v>25</v>
      </c>
      <c r="B28" s="6">
        <v>0</v>
      </c>
      <c r="C28" s="6">
        <v>0</v>
      </c>
      <c r="D28" s="19"/>
      <c r="E28" s="6">
        <v>0</v>
      </c>
      <c r="F28" s="7"/>
      <c r="G28" s="6">
        <v>0</v>
      </c>
      <c r="H28" s="7"/>
      <c r="I28" s="6">
        <v>0</v>
      </c>
      <c r="J28" s="7"/>
      <c r="K28" s="6">
        <v>0</v>
      </c>
      <c r="L28" s="7"/>
      <c r="M28" s="6">
        <v>0</v>
      </c>
      <c r="N28" s="7"/>
      <c r="O28" s="6">
        <v>0</v>
      </c>
      <c r="P28" s="7"/>
      <c r="Q28" s="6">
        <v>0</v>
      </c>
      <c r="R28" s="7"/>
      <c r="S28" s="6">
        <v>0</v>
      </c>
      <c r="T28" s="7"/>
      <c r="U28" s="6">
        <v>0</v>
      </c>
      <c r="V28" s="7"/>
      <c r="W28" s="6">
        <v>0</v>
      </c>
      <c r="X28" s="7"/>
      <c r="Y28" s="6">
        <v>0</v>
      </c>
      <c r="Z28" s="7"/>
      <c r="AA28" s="6"/>
      <c r="AB28" s="7"/>
      <c r="AC28" s="8">
        <f t="shared" si="7"/>
        <v>0</v>
      </c>
      <c r="AD28" s="7"/>
    </row>
    <row r="29" spans="1:32" hidden="1">
      <c r="A29" s="15" t="s">
        <v>17</v>
      </c>
      <c r="B29" s="16">
        <f>+B21+B25</f>
        <v>104152109.02</v>
      </c>
      <c r="C29" s="16">
        <f>+C21+C25</f>
        <v>10852902.039999999</v>
      </c>
      <c r="D29" s="17">
        <f t="shared" ref="D29:Z29" si="8">+D21+D25</f>
        <v>0.10482142272660981</v>
      </c>
      <c r="E29" s="16">
        <f t="shared" si="8"/>
        <v>8881121.4100000001</v>
      </c>
      <c r="F29" s="17">
        <f t="shared" si="8"/>
        <v>8.5777221444814131E-2</v>
      </c>
      <c r="G29" s="16">
        <f t="shared" si="8"/>
        <v>9086432.7599999998</v>
      </c>
      <c r="H29" s="17">
        <f t="shared" si="8"/>
        <v>8.7760195927547135E-2</v>
      </c>
      <c r="I29" s="16">
        <f t="shared" si="8"/>
        <v>7316244.8799999999</v>
      </c>
      <c r="J29" s="17">
        <f t="shared" si="8"/>
        <v>8.407259849685314E-2</v>
      </c>
      <c r="K29" s="16">
        <f t="shared" si="8"/>
        <v>6764413.4700000007</v>
      </c>
      <c r="L29" s="17">
        <f t="shared" si="8"/>
        <v>7.7366064677419119E-2</v>
      </c>
      <c r="M29" s="16">
        <f t="shared" si="8"/>
        <v>8930270.4700000007</v>
      </c>
      <c r="N29" s="17">
        <f t="shared" si="8"/>
        <v>8.7265686316279664E-2</v>
      </c>
      <c r="O29" s="16">
        <f t="shared" si="8"/>
        <v>8129978.629999999</v>
      </c>
      <c r="P29" s="17">
        <f t="shared" si="8"/>
        <v>8.9677627138062349E-2</v>
      </c>
      <c r="Q29" s="16">
        <f t="shared" si="8"/>
        <v>6574787.4000000004</v>
      </c>
      <c r="R29" s="17">
        <f t="shared" si="8"/>
        <v>6.3501777391237552E-2</v>
      </c>
      <c r="S29" s="16">
        <f t="shared" si="8"/>
        <v>8785374.209999999</v>
      </c>
      <c r="T29" s="17">
        <f t="shared" si="8"/>
        <v>0.11384198543514387</v>
      </c>
      <c r="U29" s="16">
        <f t="shared" si="8"/>
        <v>7269149.71</v>
      </c>
      <c r="V29" s="17">
        <f t="shared" si="8"/>
        <v>7.5283155772989052E-2</v>
      </c>
      <c r="W29" s="16">
        <f t="shared" si="8"/>
        <v>7012903.8600000003</v>
      </c>
      <c r="X29" s="17">
        <f t="shared" si="8"/>
        <v>7.2816317826343638E-2</v>
      </c>
      <c r="Y29" s="16">
        <f t="shared" si="8"/>
        <v>10994531.869999999</v>
      </c>
      <c r="Z29" s="17">
        <f t="shared" si="8"/>
        <v>0.131719321270516</v>
      </c>
      <c r="AA29" s="24">
        <f>+AA21+AA25</f>
        <v>3553998.3099999996</v>
      </c>
      <c r="AB29" s="17">
        <f>+AB21+AB25</f>
        <v>0.92609662557618466</v>
      </c>
      <c r="AC29" s="16">
        <f t="shared" si="7"/>
        <v>104152109.02</v>
      </c>
      <c r="AD29" s="17">
        <f>+AC29/B29</f>
        <v>1</v>
      </c>
      <c r="AF29" s="26"/>
    </row>
    <row r="30" spans="1:32" hidden="1"/>
    <row r="31" spans="1:32" hidden="1">
      <c r="AF31" s="26"/>
    </row>
    <row r="32" spans="1:32" ht="18" hidden="1">
      <c r="A32" s="262" t="s">
        <v>0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</row>
    <row r="33" spans="1:32" ht="18" hidden="1">
      <c r="A33" s="262" t="s">
        <v>72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</row>
    <row r="34" spans="1:32" s="25" customFormat="1" ht="18" hidden="1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</row>
    <row r="35" spans="1:32" ht="23.25" hidden="1" customHeight="1">
      <c r="A35" s="278" t="s">
        <v>26</v>
      </c>
      <c r="B35" s="278" t="s">
        <v>51</v>
      </c>
      <c r="C35" s="275" t="s">
        <v>2</v>
      </c>
      <c r="D35" s="275"/>
      <c r="E35" s="275" t="s">
        <v>3</v>
      </c>
      <c r="F35" s="275"/>
      <c r="G35" s="275" t="s">
        <v>4</v>
      </c>
      <c r="H35" s="275"/>
      <c r="I35" s="275" t="s">
        <v>5</v>
      </c>
      <c r="J35" s="275"/>
      <c r="K35" s="275" t="s">
        <v>6</v>
      </c>
      <c r="L35" s="275"/>
      <c r="M35" s="275" t="s">
        <v>7</v>
      </c>
      <c r="N35" s="275"/>
      <c r="O35" s="275" t="s">
        <v>8</v>
      </c>
      <c r="P35" s="275"/>
      <c r="Q35" s="275" t="s">
        <v>9</v>
      </c>
      <c r="R35" s="275"/>
      <c r="S35" s="275" t="s">
        <v>10</v>
      </c>
      <c r="T35" s="275"/>
      <c r="U35" s="275" t="s">
        <v>11</v>
      </c>
      <c r="V35" s="275"/>
      <c r="W35" s="275" t="s">
        <v>12</v>
      </c>
      <c r="X35" s="275"/>
      <c r="Y35" s="275" t="s">
        <v>13</v>
      </c>
      <c r="Z35" s="275"/>
      <c r="AA35" s="275" t="s">
        <v>52</v>
      </c>
      <c r="AB35" s="275"/>
      <c r="AC35" s="275" t="s">
        <v>14</v>
      </c>
      <c r="AD35" s="275"/>
    </row>
    <row r="36" spans="1:32" hidden="1">
      <c r="A36" s="278"/>
      <c r="B36" s="278"/>
      <c r="C36" s="43" t="s">
        <v>1</v>
      </c>
      <c r="D36" s="43" t="s">
        <v>15</v>
      </c>
      <c r="E36" s="43" t="s">
        <v>1</v>
      </c>
      <c r="F36" s="43"/>
      <c r="G36" s="43" t="s">
        <v>1</v>
      </c>
      <c r="H36" s="43"/>
      <c r="I36" s="43" t="s">
        <v>1</v>
      </c>
      <c r="J36" s="43" t="s">
        <v>15</v>
      </c>
      <c r="K36" s="43" t="s">
        <v>1</v>
      </c>
      <c r="L36" s="43" t="s">
        <v>15</v>
      </c>
      <c r="M36" s="43" t="s">
        <v>1</v>
      </c>
      <c r="N36" s="43" t="s">
        <v>15</v>
      </c>
      <c r="O36" s="43" t="s">
        <v>1</v>
      </c>
      <c r="P36" s="43" t="s">
        <v>15</v>
      </c>
      <c r="Q36" s="43" t="s">
        <v>1</v>
      </c>
      <c r="R36" s="43" t="s">
        <v>15</v>
      </c>
      <c r="S36" s="43" t="s">
        <v>1</v>
      </c>
      <c r="T36" s="43" t="s">
        <v>15</v>
      </c>
      <c r="U36" s="43" t="s">
        <v>1</v>
      </c>
      <c r="V36" s="43" t="s">
        <v>15</v>
      </c>
      <c r="W36" s="43" t="s">
        <v>1</v>
      </c>
      <c r="X36" s="43" t="s">
        <v>15</v>
      </c>
      <c r="Y36" s="43" t="s">
        <v>1</v>
      </c>
      <c r="Z36" s="43" t="s">
        <v>15</v>
      </c>
      <c r="AA36" s="43"/>
      <c r="AB36" s="43"/>
      <c r="AC36" s="43" t="s">
        <v>1</v>
      </c>
      <c r="AD36" s="43" t="s">
        <v>15</v>
      </c>
    </row>
    <row r="37" spans="1:32" hidden="1">
      <c r="A37" s="12" t="s">
        <v>18</v>
      </c>
      <c r="B37" s="4">
        <f>SUM(B38:B40)</f>
        <v>116186292.71000001</v>
      </c>
      <c r="C37" s="4">
        <f>SUM(C38:C40)</f>
        <v>10598765.390000001</v>
      </c>
      <c r="D37" s="5">
        <f>+C37/$B37</f>
        <v>9.1222166942312444E-2</v>
      </c>
      <c r="E37" s="4">
        <f>SUM(E38:E40)</f>
        <v>9765097</v>
      </c>
      <c r="F37" s="5">
        <f>+E37/$B37</f>
        <v>8.4046893762017169E-2</v>
      </c>
      <c r="G37" s="4">
        <f>SUM(G38:G40)</f>
        <v>11549395.640000001</v>
      </c>
      <c r="H37" s="5">
        <f>+G37/$B37</f>
        <v>9.9404115327332052E-2</v>
      </c>
      <c r="I37" s="4">
        <f>SUM(I38:I40)</f>
        <v>8809447.4499999993</v>
      </c>
      <c r="J37" s="5">
        <f t="shared" ref="J37:J42" si="9">+I37/$B37</f>
        <v>7.5821744928107004E-2</v>
      </c>
      <c r="K37" s="4">
        <f>SUM(K38:K40)</f>
        <v>8752007.6499999985</v>
      </c>
      <c r="L37" s="5">
        <f>+K37/$B37</f>
        <v>7.532736819346611E-2</v>
      </c>
      <c r="M37" s="4">
        <f>SUM(M38:M40)</f>
        <v>9227105.25</v>
      </c>
      <c r="N37" s="5">
        <f>+M37/$B37</f>
        <v>7.9416470177172932E-2</v>
      </c>
      <c r="O37" s="4">
        <f>SUM(O38:O40)</f>
        <v>8399898.5099999998</v>
      </c>
      <c r="P37" s="5">
        <f>+O37/$B37</f>
        <v>7.229681156077572E-2</v>
      </c>
      <c r="Q37" s="4">
        <f>SUM(Q38:Q40)</f>
        <v>7998902.3300000001</v>
      </c>
      <c r="R37" s="5">
        <f>+Q37/$B37</f>
        <v>6.8845490663560382E-2</v>
      </c>
      <c r="S37" s="4">
        <f>SUM(S38:S40)</f>
        <v>7521764.79</v>
      </c>
      <c r="T37" s="5">
        <f>+S37/$B37</f>
        <v>6.4738831187033913E-2</v>
      </c>
      <c r="U37" s="4">
        <f>SUM(U38:U40)</f>
        <v>8927694.0300000012</v>
      </c>
      <c r="V37" s="5">
        <f>+U37/$B37</f>
        <v>7.6839477547351043E-2</v>
      </c>
      <c r="W37" s="4">
        <f>SUM(W38:W40)</f>
        <v>7628737.6500000004</v>
      </c>
      <c r="X37" s="5">
        <f>+W37/$B37</f>
        <v>6.5659532394593781E-2</v>
      </c>
      <c r="Y37" s="4">
        <f>SUM(Y38:Y40)</f>
        <v>12639363.75</v>
      </c>
      <c r="Z37" s="5">
        <f>+Y37/$B37</f>
        <v>0.10878532617911946</v>
      </c>
      <c r="AA37" s="4">
        <f>SUM(AA38:AA40)</f>
        <v>4368113.2700000005</v>
      </c>
      <c r="AB37" s="5">
        <f>+AA37/$B37</f>
        <v>3.7595771137157924E-2</v>
      </c>
      <c r="AC37" s="4">
        <f t="shared" ref="AC37:AC45" si="10">+C37+E37+G37+I37+K37+M37+O37+Q37+S37+U37+W37+Y37+AA37</f>
        <v>116186292.71000001</v>
      </c>
      <c r="AD37" s="5">
        <f>+AC37/$B37</f>
        <v>1</v>
      </c>
      <c r="AF37" s="26"/>
    </row>
    <row r="38" spans="1:32" hidden="1">
      <c r="A38" s="13" t="s">
        <v>19</v>
      </c>
      <c r="B38" s="28">
        <v>59305659.219999999</v>
      </c>
      <c r="C38" s="30">
        <v>3082311.73</v>
      </c>
      <c r="D38" s="114">
        <f>+C38/$B38</f>
        <v>5.1973315372245851E-2</v>
      </c>
      <c r="E38" s="30">
        <v>4255851.84</v>
      </c>
      <c r="F38" s="114">
        <f>+E38/$B38</f>
        <v>7.1761310741231488E-2</v>
      </c>
      <c r="G38" s="30">
        <v>4383782.1900000004</v>
      </c>
      <c r="H38" s="114">
        <f>+G38/$B38</f>
        <v>7.391844636171975E-2</v>
      </c>
      <c r="I38" s="30">
        <v>4297348.46</v>
      </c>
      <c r="J38" s="114">
        <f t="shared" si="9"/>
        <v>7.2461018333150565E-2</v>
      </c>
      <c r="K38" s="30">
        <v>4735459.6399999997</v>
      </c>
      <c r="L38" s="114">
        <f>+K38/$B38</f>
        <v>7.9848360211853653E-2</v>
      </c>
      <c r="M38" s="30">
        <v>4101511.72</v>
      </c>
      <c r="N38" s="114">
        <f>+M38/$B38</f>
        <v>6.9158858934272219E-2</v>
      </c>
      <c r="O38" s="30">
        <v>4751422.13</v>
      </c>
      <c r="P38" s="114">
        <f>+O38/$B38</f>
        <v>8.0117516481422901E-2</v>
      </c>
      <c r="Q38" s="30">
        <v>4728584.75</v>
      </c>
      <c r="R38" s="114">
        <f>+Q38/$B38</f>
        <v>7.9732437210736737E-2</v>
      </c>
      <c r="S38" s="30">
        <v>4739186.03</v>
      </c>
      <c r="T38" s="114">
        <f>+S38/$B38</f>
        <v>7.9911193844411005E-2</v>
      </c>
      <c r="U38" s="30">
        <v>5338054.8600000003</v>
      </c>
      <c r="V38" s="114">
        <f>+U38/$B38</f>
        <v>9.0009198619611944E-2</v>
      </c>
      <c r="W38" s="30">
        <v>4674382.87</v>
      </c>
      <c r="X38" s="114">
        <f>+W38/$B38</f>
        <v>7.8818496101020152E-2</v>
      </c>
      <c r="Y38" s="30">
        <v>8654907.6600000001</v>
      </c>
      <c r="Z38" s="114">
        <f>+Y38/$B38</f>
        <v>0.1459372979548848</v>
      </c>
      <c r="AA38" s="30">
        <v>1562855.34</v>
      </c>
      <c r="AB38" s="114">
        <f>+AA38/$B38</f>
        <v>2.6352549833438984E-2</v>
      </c>
      <c r="AC38" s="30">
        <f t="shared" si="10"/>
        <v>59305659.219999999</v>
      </c>
      <c r="AD38" s="114">
        <f>+AC38/$B38</f>
        <v>1</v>
      </c>
      <c r="AE38" s="23"/>
      <c r="AF38" s="26"/>
    </row>
    <row r="39" spans="1:32" hidden="1">
      <c r="A39" s="13" t="s">
        <v>20</v>
      </c>
      <c r="B39" s="28">
        <v>0</v>
      </c>
      <c r="C39" s="30">
        <v>0</v>
      </c>
      <c r="D39" s="114"/>
      <c r="E39" s="30">
        <v>0</v>
      </c>
      <c r="F39" s="114"/>
      <c r="G39" s="30">
        <v>0</v>
      </c>
      <c r="H39" s="114"/>
      <c r="I39" s="30">
        <v>0</v>
      </c>
      <c r="J39" s="114"/>
      <c r="K39" s="30">
        <v>0</v>
      </c>
      <c r="L39" s="114"/>
      <c r="M39" s="30">
        <v>0</v>
      </c>
      <c r="N39" s="114"/>
      <c r="O39" s="30">
        <v>0</v>
      </c>
      <c r="P39" s="114"/>
      <c r="Q39" s="30">
        <v>0</v>
      </c>
      <c r="R39" s="114"/>
      <c r="S39" s="30">
        <v>0</v>
      </c>
      <c r="T39" s="114"/>
      <c r="U39" s="30">
        <v>0</v>
      </c>
      <c r="V39" s="114"/>
      <c r="W39" s="30">
        <v>0</v>
      </c>
      <c r="X39" s="114"/>
      <c r="Y39" s="30"/>
      <c r="Z39" s="114"/>
      <c r="AA39" s="30">
        <v>0</v>
      </c>
      <c r="AB39" s="114"/>
      <c r="AC39" s="30">
        <f t="shared" si="10"/>
        <v>0</v>
      </c>
      <c r="AD39" s="114"/>
      <c r="AE39" s="23"/>
      <c r="AF39" s="26"/>
    </row>
    <row r="40" spans="1:32" hidden="1">
      <c r="A40" s="13" t="s">
        <v>21</v>
      </c>
      <c r="B40" s="28">
        <v>56880633.490000002</v>
      </c>
      <c r="C40" s="30">
        <v>7516453.6600000001</v>
      </c>
      <c r="D40" s="114">
        <f>+C40/$B40</f>
        <v>0.13214433804295522</v>
      </c>
      <c r="E40" s="30">
        <v>5509245.1600000001</v>
      </c>
      <c r="F40" s="114">
        <f>+E40/$B40</f>
        <v>9.6856255318755594E-2</v>
      </c>
      <c r="G40" s="30">
        <v>7165613.4500000002</v>
      </c>
      <c r="H40" s="114">
        <f>+G40/$B40</f>
        <v>0.1259763299095423</v>
      </c>
      <c r="I40" s="30">
        <v>4512098.99</v>
      </c>
      <c r="J40" s="114">
        <f t="shared" si="9"/>
        <v>7.9325751370073222E-2</v>
      </c>
      <c r="K40" s="30">
        <v>4016548.01</v>
      </c>
      <c r="L40" s="114">
        <f>+K40/$B40</f>
        <v>7.061363004520925E-2</v>
      </c>
      <c r="M40" s="30">
        <v>5125593.53</v>
      </c>
      <c r="N40" s="114">
        <f>+M40/$B40</f>
        <v>9.01114002343366E-2</v>
      </c>
      <c r="O40" s="30">
        <v>3648476.38</v>
      </c>
      <c r="P40" s="114">
        <f>+O40/$B40</f>
        <v>6.4142681896140044E-2</v>
      </c>
      <c r="Q40" s="30">
        <v>3270317.58</v>
      </c>
      <c r="R40" s="114">
        <f>+Q40/$B40</f>
        <v>5.7494394477426908E-2</v>
      </c>
      <c r="S40" s="30">
        <v>2782578.76</v>
      </c>
      <c r="T40" s="114">
        <f>+S40/$B40</f>
        <v>4.8919616208022647E-2</v>
      </c>
      <c r="U40" s="30">
        <v>3589639.17</v>
      </c>
      <c r="V40" s="114">
        <f>+U40/$B40</f>
        <v>6.3108283958037886E-2</v>
      </c>
      <c r="W40" s="30">
        <v>2954354.78</v>
      </c>
      <c r="X40" s="114">
        <f>+W40/$B40</f>
        <v>5.1939554796262867E-2</v>
      </c>
      <c r="Y40" s="30">
        <v>3984456.09</v>
      </c>
      <c r="Z40" s="114">
        <f>+Y40/$B40</f>
        <v>7.0049432390736188E-2</v>
      </c>
      <c r="AA40" s="30">
        <v>2805257.93</v>
      </c>
      <c r="AB40" s="114">
        <f>+AA40/$B40</f>
        <v>4.9318331352501257E-2</v>
      </c>
      <c r="AC40" s="30">
        <f t="shared" si="10"/>
        <v>56880633.490000002</v>
      </c>
      <c r="AD40" s="114">
        <f>+AC40/$B40</f>
        <v>1</v>
      </c>
      <c r="AE40" s="23"/>
      <c r="AF40" s="26"/>
    </row>
    <row r="41" spans="1:32" hidden="1">
      <c r="A41" s="12" t="s">
        <v>22</v>
      </c>
      <c r="B41" s="4">
        <f>SUM(B42:B44)</f>
        <v>359585.71</v>
      </c>
      <c r="C41" s="4">
        <f>SUM(C42:C44)</f>
        <v>0</v>
      </c>
      <c r="D41" s="20">
        <f>+C41/B41</f>
        <v>0</v>
      </c>
      <c r="E41" s="4">
        <f>SUM(E42:E44)</f>
        <v>0</v>
      </c>
      <c r="F41" s="5">
        <f>+E41/$B41</f>
        <v>0</v>
      </c>
      <c r="G41" s="4">
        <f>SUM(G42:G44)</f>
        <v>0</v>
      </c>
      <c r="H41" s="5">
        <f>+G41/$B41</f>
        <v>0</v>
      </c>
      <c r="I41" s="4">
        <f>SUM(I42:I44)</f>
        <v>0</v>
      </c>
      <c r="J41" s="5">
        <f t="shared" si="9"/>
        <v>0</v>
      </c>
      <c r="K41" s="4">
        <f>SUM(K42:K44)</f>
        <v>589.48</v>
      </c>
      <c r="L41" s="5">
        <f>+K41/$B41</f>
        <v>1.6393309956616463E-3</v>
      </c>
      <c r="M41" s="4">
        <f>SUM(M42:M44)</f>
        <v>61748</v>
      </c>
      <c r="N41" s="5">
        <f>+M41/$B41</f>
        <v>0.17171983836621316</v>
      </c>
      <c r="O41" s="4">
        <f>SUM(O42:O44)</f>
        <v>43800</v>
      </c>
      <c r="P41" s="5">
        <f>+O41/$B41</f>
        <v>0.12180684265790205</v>
      </c>
      <c r="Q41" s="4">
        <f>SUM(Q42:Q44)</f>
        <v>36568.239999999998</v>
      </c>
      <c r="R41" s="5">
        <f>+Q41/$B41</f>
        <v>0.10169547616338813</v>
      </c>
      <c r="S41" s="4">
        <f>SUM(S42:S44)</f>
        <v>43800</v>
      </c>
      <c r="T41" s="5">
        <f>+S41/$B41</f>
        <v>0.12180684265790205</v>
      </c>
      <c r="U41" s="4">
        <f>SUM(U42:U44)</f>
        <v>30170.880000000001</v>
      </c>
      <c r="V41" s="5">
        <f>+U41/$B41</f>
        <v>8.3904557831288681E-2</v>
      </c>
      <c r="W41" s="4">
        <f>SUM(W42:W44)</f>
        <v>440</v>
      </c>
      <c r="X41" s="5">
        <f>+W41/$B41</f>
        <v>1.2236303828647695E-3</v>
      </c>
      <c r="Y41" s="4">
        <f>SUM(Y42:Y44)</f>
        <v>650</v>
      </c>
      <c r="Z41" s="5">
        <f>+Y41/$B41</f>
        <v>1.8076357928684095E-3</v>
      </c>
      <c r="AA41" s="4">
        <f>SUM(AA42:AA44)</f>
        <v>141819.10999999999</v>
      </c>
      <c r="AB41" s="5">
        <f>+AA41/$B41</f>
        <v>0.39439584515191101</v>
      </c>
      <c r="AC41" s="4">
        <f t="shared" si="10"/>
        <v>359585.70999999996</v>
      </c>
      <c r="AD41" s="5">
        <f>+AC41/$B41</f>
        <v>0.99999999999999989</v>
      </c>
      <c r="AE41" s="23"/>
      <c r="AF41" s="26"/>
    </row>
    <row r="42" spans="1:32" hidden="1">
      <c r="A42" s="14" t="s">
        <v>23</v>
      </c>
      <c r="B42" s="30">
        <v>359585.71</v>
      </c>
      <c r="C42" s="30">
        <v>0</v>
      </c>
      <c r="D42" s="115">
        <f>+C42/B42</f>
        <v>0</v>
      </c>
      <c r="E42" s="30"/>
      <c r="F42" s="114">
        <f>+E42/$B42</f>
        <v>0</v>
      </c>
      <c r="G42" s="30">
        <v>0</v>
      </c>
      <c r="H42" s="114">
        <f>+G42/$B42</f>
        <v>0</v>
      </c>
      <c r="I42" s="30"/>
      <c r="J42" s="114">
        <f t="shared" si="9"/>
        <v>0</v>
      </c>
      <c r="K42" s="30">
        <v>589.48</v>
      </c>
      <c r="L42" s="114">
        <f>+K42/$B42</f>
        <v>1.6393309956616463E-3</v>
      </c>
      <c r="M42" s="30">
        <v>61748</v>
      </c>
      <c r="N42" s="114">
        <f>+M42/$B42</f>
        <v>0.17171983836621316</v>
      </c>
      <c r="O42" s="30">
        <v>43800</v>
      </c>
      <c r="P42" s="114">
        <f>+O42/$B42</f>
        <v>0.12180684265790205</v>
      </c>
      <c r="Q42" s="30">
        <v>36568.239999999998</v>
      </c>
      <c r="R42" s="114">
        <f>+Q42/$B42</f>
        <v>0.10169547616338813</v>
      </c>
      <c r="S42" s="30">
        <v>43800</v>
      </c>
      <c r="T42" s="114">
        <f>+S42/$B42</f>
        <v>0.12180684265790205</v>
      </c>
      <c r="U42" s="30">
        <v>30170.880000000001</v>
      </c>
      <c r="V42" s="114">
        <f>+U42/$B42</f>
        <v>8.3904557831288681E-2</v>
      </c>
      <c r="W42" s="30">
        <v>440</v>
      </c>
      <c r="X42" s="114">
        <f>+W42/$B42</f>
        <v>1.2236303828647695E-3</v>
      </c>
      <c r="Y42" s="30">
        <v>650</v>
      </c>
      <c r="Z42" s="114">
        <f>+Y42/$B42</f>
        <v>1.8076357928684095E-3</v>
      </c>
      <c r="AA42" s="30">
        <v>141819.10999999999</v>
      </c>
      <c r="AB42" s="114">
        <f>+AA42/$B42</f>
        <v>0.39439584515191101</v>
      </c>
      <c r="AC42" s="30">
        <f t="shared" si="10"/>
        <v>359585.70999999996</v>
      </c>
      <c r="AD42" s="114">
        <f>+AC42/$B42</f>
        <v>0.99999999999999989</v>
      </c>
      <c r="AE42" s="23"/>
      <c r="AF42" s="26"/>
    </row>
    <row r="43" spans="1:32" hidden="1">
      <c r="A43" s="13" t="s">
        <v>24</v>
      </c>
      <c r="B43" s="28">
        <v>0</v>
      </c>
      <c r="C43" s="28">
        <v>0</v>
      </c>
      <c r="D43" s="19"/>
      <c r="E43" s="28">
        <v>0</v>
      </c>
      <c r="F43" s="7"/>
      <c r="G43" s="28">
        <v>0</v>
      </c>
      <c r="H43" s="7"/>
      <c r="I43" s="28">
        <v>0</v>
      </c>
      <c r="J43" s="7"/>
      <c r="K43" s="28">
        <v>0</v>
      </c>
      <c r="L43" s="7"/>
      <c r="M43" s="28">
        <v>0</v>
      </c>
      <c r="N43" s="7"/>
      <c r="O43" s="28">
        <v>0</v>
      </c>
      <c r="P43" s="7"/>
      <c r="Q43" s="28">
        <v>0</v>
      </c>
      <c r="R43" s="7"/>
      <c r="S43" s="28">
        <v>0</v>
      </c>
      <c r="T43" s="7"/>
      <c r="U43" s="28">
        <v>0</v>
      </c>
      <c r="V43" s="7"/>
      <c r="W43" s="28">
        <v>0</v>
      </c>
      <c r="X43" s="7"/>
      <c r="Y43" s="28">
        <v>0</v>
      </c>
      <c r="Z43" s="7"/>
      <c r="AA43" s="28"/>
      <c r="AB43" s="7"/>
      <c r="AC43" s="8">
        <f t="shared" si="10"/>
        <v>0</v>
      </c>
      <c r="AD43" s="7"/>
      <c r="AF43" s="26"/>
    </row>
    <row r="44" spans="1:32" hidden="1">
      <c r="A44" s="13" t="s">
        <v>25</v>
      </c>
      <c r="B44" s="28">
        <v>0</v>
      </c>
      <c r="C44" s="28">
        <v>0</v>
      </c>
      <c r="D44" s="19"/>
      <c r="E44" s="28">
        <v>0</v>
      </c>
      <c r="F44" s="7"/>
      <c r="G44" s="28">
        <v>0</v>
      </c>
      <c r="H44" s="7"/>
      <c r="I44" s="28">
        <v>0</v>
      </c>
      <c r="J44" s="7"/>
      <c r="K44" s="28">
        <v>0</v>
      </c>
      <c r="L44" s="7"/>
      <c r="M44" s="28">
        <v>0</v>
      </c>
      <c r="N44" s="7"/>
      <c r="O44" s="28">
        <v>0</v>
      </c>
      <c r="P44" s="7"/>
      <c r="Q44" s="28">
        <v>0</v>
      </c>
      <c r="R44" s="7"/>
      <c r="S44" s="28">
        <v>0</v>
      </c>
      <c r="T44" s="7"/>
      <c r="U44" s="28">
        <v>0</v>
      </c>
      <c r="V44" s="7"/>
      <c r="W44" s="28">
        <v>0</v>
      </c>
      <c r="X44" s="7"/>
      <c r="Y44" s="28">
        <v>0</v>
      </c>
      <c r="Z44" s="7"/>
      <c r="AA44" s="28"/>
      <c r="AB44" s="7"/>
      <c r="AC44" s="8">
        <f t="shared" si="10"/>
        <v>0</v>
      </c>
      <c r="AD44" s="7"/>
      <c r="AF44" s="26"/>
    </row>
    <row r="45" spans="1:32" hidden="1">
      <c r="A45" s="15" t="s">
        <v>17</v>
      </c>
      <c r="B45" s="16">
        <f>+B37+B41</f>
        <v>116545878.42</v>
      </c>
      <c r="C45" s="16">
        <f>+C37+C41</f>
        <v>10598765.390000001</v>
      </c>
      <c r="D45" s="17">
        <f t="shared" ref="D45:Z45" si="11">+D37+D41</f>
        <v>9.1222166942312444E-2</v>
      </c>
      <c r="E45" s="16">
        <f t="shared" si="11"/>
        <v>9765097</v>
      </c>
      <c r="F45" s="17">
        <f t="shared" si="11"/>
        <v>8.4046893762017169E-2</v>
      </c>
      <c r="G45" s="16">
        <f t="shared" si="11"/>
        <v>11549395.640000001</v>
      </c>
      <c r="H45" s="17">
        <f t="shared" si="11"/>
        <v>9.9404115327332052E-2</v>
      </c>
      <c r="I45" s="16">
        <f t="shared" si="11"/>
        <v>8809447.4499999993</v>
      </c>
      <c r="J45" s="17">
        <f t="shared" si="11"/>
        <v>7.5821744928107004E-2</v>
      </c>
      <c r="K45" s="16">
        <f t="shared" si="11"/>
        <v>8752597.129999999</v>
      </c>
      <c r="L45" s="17">
        <f t="shared" si="11"/>
        <v>7.6966699189127755E-2</v>
      </c>
      <c r="M45" s="16">
        <f t="shared" si="11"/>
        <v>9288853.25</v>
      </c>
      <c r="N45" s="17">
        <f t="shared" si="11"/>
        <v>0.25113630854338609</v>
      </c>
      <c r="O45" s="16">
        <f t="shared" si="11"/>
        <v>8443698.5099999998</v>
      </c>
      <c r="P45" s="17">
        <f t="shared" si="11"/>
        <v>0.19410365421867776</v>
      </c>
      <c r="Q45" s="16">
        <f t="shared" si="11"/>
        <v>8035470.5700000003</v>
      </c>
      <c r="R45" s="17">
        <f t="shared" si="11"/>
        <v>0.17054096682694853</v>
      </c>
      <c r="S45" s="16">
        <f t="shared" si="11"/>
        <v>7565564.79</v>
      </c>
      <c r="T45" s="17">
        <f t="shared" si="11"/>
        <v>0.18654567384493598</v>
      </c>
      <c r="U45" s="16">
        <f t="shared" si="11"/>
        <v>8957864.910000002</v>
      </c>
      <c r="V45" s="17">
        <f t="shared" si="11"/>
        <v>0.16074403537863974</v>
      </c>
      <c r="W45" s="16">
        <f t="shared" si="11"/>
        <v>7629177.6500000004</v>
      </c>
      <c r="X45" s="17">
        <f t="shared" si="11"/>
        <v>6.6883162777458552E-2</v>
      </c>
      <c r="Y45" s="16">
        <f t="shared" si="11"/>
        <v>12640013.75</v>
      </c>
      <c r="Z45" s="17">
        <f t="shared" si="11"/>
        <v>0.11059296197198787</v>
      </c>
      <c r="AA45" s="24">
        <f>+AA37+AA41</f>
        <v>4509932.3800000008</v>
      </c>
      <c r="AB45" s="17">
        <f>+AB37+AB41</f>
        <v>0.4319916162890689</v>
      </c>
      <c r="AC45" s="16">
        <f t="shared" si="10"/>
        <v>116545878.42</v>
      </c>
      <c r="AD45" s="17">
        <f>+AC45/B45</f>
        <v>1</v>
      </c>
      <c r="AF45" s="26"/>
    </row>
    <row r="46" spans="1:32" hidden="1">
      <c r="B46" s="22">
        <f>+B45+1448.91</f>
        <v>116547327.33</v>
      </c>
    </row>
    <row r="47" spans="1:32" s="25" customFormat="1" hidden="1">
      <c r="B47" s="36"/>
    </row>
    <row r="48" spans="1:32" s="25" customFormat="1" ht="18" hidden="1">
      <c r="A48" s="262" t="s">
        <v>0</v>
      </c>
      <c r="B48" s="262"/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2"/>
      <c r="AC48" s="262"/>
      <c r="AD48" s="262"/>
    </row>
    <row r="49" spans="1:34" s="25" customFormat="1" ht="18" hidden="1">
      <c r="A49" s="262" t="s">
        <v>78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2"/>
      <c r="AC49" s="262"/>
      <c r="AD49" s="262"/>
    </row>
    <row r="50" spans="1:34" s="25" customFormat="1" ht="18" hidden="1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</row>
    <row r="51" spans="1:34" s="25" customFormat="1" ht="22.5" hidden="1" customHeight="1">
      <c r="A51" s="278" t="s">
        <v>26</v>
      </c>
      <c r="B51" s="278" t="s">
        <v>51</v>
      </c>
      <c r="C51" s="275" t="s">
        <v>2</v>
      </c>
      <c r="D51" s="275"/>
      <c r="E51" s="275" t="s">
        <v>3</v>
      </c>
      <c r="F51" s="275"/>
      <c r="G51" s="275" t="s">
        <v>4</v>
      </c>
      <c r="H51" s="275"/>
      <c r="I51" s="275" t="s">
        <v>5</v>
      </c>
      <c r="J51" s="275"/>
      <c r="K51" s="275" t="s">
        <v>6</v>
      </c>
      <c r="L51" s="275"/>
      <c r="M51" s="275" t="s">
        <v>7</v>
      </c>
      <c r="N51" s="275"/>
      <c r="O51" s="275" t="s">
        <v>8</v>
      </c>
      <c r="P51" s="275"/>
      <c r="Q51" s="275" t="s">
        <v>9</v>
      </c>
      <c r="R51" s="275"/>
      <c r="S51" s="275" t="s">
        <v>10</v>
      </c>
      <c r="T51" s="275"/>
      <c r="U51" s="275" t="s">
        <v>11</v>
      </c>
      <c r="V51" s="275"/>
      <c r="W51" s="275" t="s">
        <v>12</v>
      </c>
      <c r="X51" s="275"/>
      <c r="Y51" s="275" t="s">
        <v>13</v>
      </c>
      <c r="Z51" s="275"/>
      <c r="AA51" s="275" t="s">
        <v>52</v>
      </c>
      <c r="AB51" s="275"/>
      <c r="AC51" s="275" t="s">
        <v>14</v>
      </c>
      <c r="AD51" s="275"/>
    </row>
    <row r="52" spans="1:34" s="25" customFormat="1" hidden="1">
      <c r="A52" s="278"/>
      <c r="B52" s="278"/>
      <c r="C52" s="112" t="s">
        <v>1</v>
      </c>
      <c r="D52" s="112" t="s">
        <v>15</v>
      </c>
      <c r="E52" s="112" t="s">
        <v>1</v>
      </c>
      <c r="F52" s="112"/>
      <c r="G52" s="112" t="s">
        <v>1</v>
      </c>
      <c r="H52" s="112"/>
      <c r="I52" s="112" t="s">
        <v>1</v>
      </c>
      <c r="J52" s="112" t="s">
        <v>15</v>
      </c>
      <c r="K52" s="112" t="s">
        <v>1</v>
      </c>
      <c r="L52" s="112" t="s">
        <v>15</v>
      </c>
      <c r="M52" s="112" t="s">
        <v>1</v>
      </c>
      <c r="N52" s="112" t="s">
        <v>15</v>
      </c>
      <c r="O52" s="112" t="s">
        <v>1</v>
      </c>
      <c r="P52" s="112" t="s">
        <v>15</v>
      </c>
      <c r="Q52" s="112" t="s">
        <v>1</v>
      </c>
      <c r="R52" s="112" t="s">
        <v>15</v>
      </c>
      <c r="S52" s="112" t="s">
        <v>1</v>
      </c>
      <c r="T52" s="112" t="s">
        <v>15</v>
      </c>
      <c r="U52" s="112" t="s">
        <v>1</v>
      </c>
      <c r="V52" s="112" t="s">
        <v>15</v>
      </c>
      <c r="W52" s="112" t="s">
        <v>1</v>
      </c>
      <c r="X52" s="112" t="s">
        <v>15</v>
      </c>
      <c r="Y52" s="112" t="s">
        <v>1</v>
      </c>
      <c r="Z52" s="112" t="s">
        <v>15</v>
      </c>
      <c r="AA52" s="112"/>
      <c r="AB52" s="112"/>
      <c r="AC52" s="112" t="s">
        <v>1</v>
      </c>
      <c r="AD52" s="112" t="s">
        <v>15</v>
      </c>
      <c r="AF52" s="26"/>
    </row>
    <row r="53" spans="1:34" s="25" customFormat="1" hidden="1">
      <c r="A53" s="12" t="s">
        <v>18</v>
      </c>
      <c r="B53" s="4">
        <f>SUM(B54:B56)</f>
        <v>121743775.30000001</v>
      </c>
      <c r="C53" s="4">
        <f>SUM(C54:C56)</f>
        <v>11649097.289999999</v>
      </c>
      <c r="D53" s="5">
        <f>+C53/$B53</f>
        <v>9.5685362650323513E-2</v>
      </c>
      <c r="E53" s="4">
        <f>SUM(E54:E56)</f>
        <v>10647342.17</v>
      </c>
      <c r="F53" s="5">
        <f>+E53/$B53</f>
        <v>8.7456973826899209E-2</v>
      </c>
      <c r="G53" s="4">
        <f>SUM(G54:G56)</f>
        <v>10323322.810000001</v>
      </c>
      <c r="H53" s="5">
        <f>+G53/$B53</f>
        <v>8.4795487773903458E-2</v>
      </c>
      <c r="I53" s="4">
        <f>SUM(I54:I56)</f>
        <v>9679950.5399999991</v>
      </c>
      <c r="J53" s="5">
        <f>+I53/$B53</f>
        <v>7.9510845759027463E-2</v>
      </c>
      <c r="K53" s="4">
        <f>SUM(K54:K56)</f>
        <v>9288588.6099999994</v>
      </c>
      <c r="L53" s="5">
        <f>+K53/$B53</f>
        <v>7.6296209700341025E-2</v>
      </c>
      <c r="M53" s="4">
        <f>SUM(M54:M56)</f>
        <v>8691635.4699999988</v>
      </c>
      <c r="N53" s="5">
        <f>+M53/$B53</f>
        <v>7.1392853134233283E-2</v>
      </c>
      <c r="O53" s="4">
        <f>SUM(O54:O56)</f>
        <v>8810185.4199999999</v>
      </c>
      <c r="P53" s="5">
        <f>+O53/$B53</f>
        <v>7.2366619141635891E-2</v>
      </c>
      <c r="Q53" s="4">
        <f>SUM(Q54:Q56)</f>
        <v>8994302.6999999993</v>
      </c>
      <c r="R53" s="5">
        <f>+Q53/$B53</f>
        <v>7.3878953382514323E-2</v>
      </c>
      <c r="S53" s="4">
        <f>SUM(S54:S56)</f>
        <v>8372979.6299999999</v>
      </c>
      <c r="T53" s="5">
        <f>+S53/$B53</f>
        <v>6.8775422886035623E-2</v>
      </c>
      <c r="U53" s="4">
        <f>SUM(U54:U56)</f>
        <v>8107259.2699999996</v>
      </c>
      <c r="V53" s="5">
        <f>+U53/$B53</f>
        <v>6.6592803205109727E-2</v>
      </c>
      <c r="W53" s="4">
        <f>SUM(W54:W56)</f>
        <v>8663809.6500000004</v>
      </c>
      <c r="X53" s="5">
        <f>+W53/$B53</f>
        <v>7.1164292619074046E-2</v>
      </c>
      <c r="Y53" s="4">
        <f>SUM(Y54:Y56)</f>
        <v>14116346.419999998</v>
      </c>
      <c r="Z53" s="5">
        <f>+Y53/$B53</f>
        <v>0.11595127870163886</v>
      </c>
      <c r="AA53" s="4">
        <f>SUM(AA54:AA56)</f>
        <v>4398955.32</v>
      </c>
      <c r="AB53" s="5">
        <f>+AA53/$B53</f>
        <v>3.6132897219263417E-2</v>
      </c>
      <c r="AC53" s="4">
        <f t="shared" ref="AC53:AC61" si="12">+C53+E53+G53+I53+K53+M53+O53+Q53+S53+U53+W53+Y53+AA53</f>
        <v>121743775.30000001</v>
      </c>
      <c r="AD53" s="5">
        <f>+AC53/$B53</f>
        <v>1</v>
      </c>
      <c r="AF53" s="26"/>
      <c r="AG53" s="113"/>
    </row>
    <row r="54" spans="1:34" s="25" customFormat="1" hidden="1">
      <c r="A54" s="13" t="s">
        <v>19</v>
      </c>
      <c r="B54" s="28">
        <v>66195046.880000003</v>
      </c>
      <c r="C54" s="173">
        <v>3232502.52</v>
      </c>
      <c r="D54" s="114">
        <f>+C54/$B54</f>
        <v>4.8832996913801718E-2</v>
      </c>
      <c r="E54" s="173">
        <v>4733657.32</v>
      </c>
      <c r="F54" s="114">
        <f>+E54/$B54</f>
        <v>7.1510748056139148E-2</v>
      </c>
      <c r="G54" s="173">
        <v>4890197.74</v>
      </c>
      <c r="H54" s="114">
        <f>+G54/$B54</f>
        <v>7.3875583906830217E-2</v>
      </c>
      <c r="I54" s="173">
        <v>4925456.13</v>
      </c>
      <c r="J54" s="114">
        <f>+I54/$B54</f>
        <v>7.4408227838088661E-2</v>
      </c>
      <c r="K54" s="173">
        <v>5509240.8899999997</v>
      </c>
      <c r="L54" s="114">
        <f>+K54/$B54</f>
        <v>8.3227388598837104E-2</v>
      </c>
      <c r="M54" s="173">
        <v>5538728.3899999997</v>
      </c>
      <c r="N54" s="114">
        <f>+M54/$B54</f>
        <v>8.3672852442279275E-2</v>
      </c>
      <c r="O54" s="173">
        <v>5596523.54</v>
      </c>
      <c r="P54" s="114">
        <f>+O54/$B54</f>
        <v>8.4545956288021293E-2</v>
      </c>
      <c r="Q54" s="173">
        <v>5266732.71</v>
      </c>
      <c r="R54" s="114">
        <f>+Q54/$B54</f>
        <v>7.9563848931894582E-2</v>
      </c>
      <c r="S54" s="173">
        <v>5055377.34</v>
      </c>
      <c r="T54" s="114">
        <f>+S54/$B54</f>
        <v>7.6370930730882497E-2</v>
      </c>
      <c r="U54" s="173">
        <v>5228545.04</v>
      </c>
      <c r="V54" s="114">
        <f>+U54/$B54</f>
        <v>7.8986952747060274E-2</v>
      </c>
      <c r="W54" s="173">
        <v>5734493.9100000001</v>
      </c>
      <c r="X54" s="114">
        <f>+W54/$B54</f>
        <v>8.6630256798452474E-2</v>
      </c>
      <c r="Y54" s="173">
        <v>8783783.0299999993</v>
      </c>
      <c r="Z54" s="114">
        <f>+Y54/$B54</f>
        <v>0.13269547260723988</v>
      </c>
      <c r="AA54" s="175">
        <v>1699808.32</v>
      </c>
      <c r="AB54" s="114">
        <f>+AA54/$B54</f>
        <v>2.5678784140472838E-2</v>
      </c>
      <c r="AC54" s="30">
        <f t="shared" si="12"/>
        <v>66195046.880000003</v>
      </c>
      <c r="AD54" s="114">
        <f>+AC54/$B54</f>
        <v>1</v>
      </c>
      <c r="AF54" s="26"/>
      <c r="AG54" s="113"/>
      <c r="AH54" s="26"/>
    </row>
    <row r="55" spans="1:34" s="25" customFormat="1" hidden="1">
      <c r="A55" s="13" t="s">
        <v>20</v>
      </c>
      <c r="B55" s="28">
        <v>0</v>
      </c>
      <c r="C55" s="171">
        <v>0</v>
      </c>
      <c r="D55" s="114"/>
      <c r="E55" s="171">
        <v>0</v>
      </c>
      <c r="F55" s="114"/>
      <c r="G55" s="171">
        <v>0</v>
      </c>
      <c r="H55" s="114"/>
      <c r="I55" s="171">
        <v>0</v>
      </c>
      <c r="J55" s="114"/>
      <c r="K55" s="171">
        <v>0</v>
      </c>
      <c r="L55" s="114"/>
      <c r="M55" s="171">
        <v>0</v>
      </c>
      <c r="N55" s="114"/>
      <c r="O55" s="171">
        <v>0</v>
      </c>
      <c r="P55" s="114"/>
      <c r="Q55" s="171">
        <v>0</v>
      </c>
      <c r="R55" s="114"/>
      <c r="S55" s="171">
        <v>0</v>
      </c>
      <c r="T55" s="114"/>
      <c r="U55" s="171">
        <v>0</v>
      </c>
      <c r="V55" s="114"/>
      <c r="W55" s="171">
        <v>0</v>
      </c>
      <c r="X55" s="114"/>
      <c r="Y55" s="171"/>
      <c r="Z55" s="114"/>
      <c r="AA55" s="30">
        <v>0</v>
      </c>
      <c r="AB55" s="114"/>
      <c r="AC55" s="30">
        <f t="shared" si="12"/>
        <v>0</v>
      </c>
      <c r="AD55" s="114"/>
      <c r="AF55" s="26"/>
      <c r="AG55" s="113"/>
    </row>
    <row r="56" spans="1:34" s="25" customFormat="1" hidden="1">
      <c r="A56" s="13" t="s">
        <v>21</v>
      </c>
      <c r="B56" s="28">
        <v>55548728.420000002</v>
      </c>
      <c r="C56" s="173">
        <v>8416594.7699999996</v>
      </c>
      <c r="D56" s="114">
        <f>+C56/$B56</f>
        <v>0.15151732558777445</v>
      </c>
      <c r="E56" s="173">
        <v>5913684.8499999996</v>
      </c>
      <c r="F56" s="114">
        <f>+E56/$B56</f>
        <v>0.10645940993080971</v>
      </c>
      <c r="G56" s="173">
        <v>5433125.0700000003</v>
      </c>
      <c r="H56" s="114">
        <f>+G56/$B56</f>
        <v>9.7808270765813513E-2</v>
      </c>
      <c r="I56" s="173">
        <v>4754494.41</v>
      </c>
      <c r="J56" s="114">
        <f>+I56/$B56</f>
        <v>8.5591417575783271E-2</v>
      </c>
      <c r="K56" s="173">
        <v>3779347.72</v>
      </c>
      <c r="L56" s="114">
        <f>+K56/$B56</f>
        <v>6.8036619874079204E-2</v>
      </c>
      <c r="M56" s="173">
        <v>3152907.08</v>
      </c>
      <c r="N56" s="114">
        <f>+M56/$B56</f>
        <v>5.6759302502139973E-2</v>
      </c>
      <c r="O56" s="173">
        <v>3213661.88</v>
      </c>
      <c r="P56" s="114">
        <f>+O56/$B56</f>
        <v>5.7853023307783573E-2</v>
      </c>
      <c r="Q56" s="173">
        <v>3727569.99</v>
      </c>
      <c r="R56" s="114">
        <f>+Q56/$B56</f>
        <v>6.7104506188082419E-2</v>
      </c>
      <c r="S56" s="173">
        <v>3317602.29</v>
      </c>
      <c r="T56" s="114">
        <f>+S56/$B56</f>
        <v>5.9724180631388069E-2</v>
      </c>
      <c r="U56" s="173">
        <v>2878714.23</v>
      </c>
      <c r="V56" s="114">
        <f>+U56/$B56</f>
        <v>5.182322461522873E-2</v>
      </c>
      <c r="W56" s="173">
        <v>2929315.74</v>
      </c>
      <c r="X56" s="114">
        <f>+W56/$B56</f>
        <v>5.2734163739116609E-2</v>
      </c>
      <c r="Y56" s="173">
        <v>5332563.3899999997</v>
      </c>
      <c r="Z56" s="114">
        <f>+Y56/$B56</f>
        <v>9.5997938056851015E-2</v>
      </c>
      <c r="AA56" s="175">
        <v>2699147</v>
      </c>
      <c r="AB56" s="114">
        <f>+AA56/$B56</f>
        <v>4.8590617225149436E-2</v>
      </c>
      <c r="AC56" s="30">
        <f t="shared" si="12"/>
        <v>55548728.420000002</v>
      </c>
      <c r="AD56" s="114">
        <f>+AC56/$B56</f>
        <v>1</v>
      </c>
      <c r="AF56" s="26"/>
      <c r="AG56" s="113"/>
      <c r="AH56" s="26"/>
    </row>
    <row r="57" spans="1:34" s="25" customFormat="1" hidden="1">
      <c r="A57" s="12" t="s">
        <v>22</v>
      </c>
      <c r="B57" s="4">
        <f>SUM(B58:B60)</f>
        <v>724654.84</v>
      </c>
      <c r="C57" s="172">
        <f>SUM(C58:C60)</f>
        <v>0</v>
      </c>
      <c r="D57" s="20">
        <f>+C57/B57</f>
        <v>0</v>
      </c>
      <c r="E57" s="172">
        <f>SUM(E58:E60)</f>
        <v>81197</v>
      </c>
      <c r="F57" s="5">
        <f>+E57/$B57</f>
        <v>0.11204920676442319</v>
      </c>
      <c r="G57" s="172">
        <f>SUM(G58:G60)</f>
        <v>133151.1</v>
      </c>
      <c r="H57" s="5">
        <f>+G57/$B57</f>
        <v>0.18374416708511879</v>
      </c>
      <c r="I57" s="172">
        <f>SUM(I58:I60)</f>
        <v>61741.94</v>
      </c>
      <c r="J57" s="5">
        <f>+I57/$B57</f>
        <v>8.5201859688124076E-2</v>
      </c>
      <c r="K57" s="172">
        <f>SUM(K58:K60)</f>
        <v>72216.39</v>
      </c>
      <c r="L57" s="5">
        <f>+K57/$B57</f>
        <v>9.9656258419525634E-2</v>
      </c>
      <c r="M57" s="172">
        <f>SUM(M58:M60)</f>
        <v>29953.599999999999</v>
      </c>
      <c r="N57" s="5">
        <f>+M57/$B57</f>
        <v>4.1334989220523248E-2</v>
      </c>
      <c r="O57" s="172">
        <f>SUM(O58:O60)</f>
        <v>19534</v>
      </c>
      <c r="P57" s="5">
        <f>+O57/$B57</f>
        <v>2.6956281696814445E-2</v>
      </c>
      <c r="Q57" s="172">
        <f>SUM(Q58:Q60)</f>
        <v>0</v>
      </c>
      <c r="R57" s="5">
        <f>+Q57/$B57</f>
        <v>0</v>
      </c>
      <c r="S57" s="172">
        <f>SUM(S58:S60)</f>
        <v>0</v>
      </c>
      <c r="T57" s="5">
        <f>+S57/$B57</f>
        <v>0</v>
      </c>
      <c r="U57" s="172">
        <f>SUM(U58:U60)</f>
        <v>1500</v>
      </c>
      <c r="V57" s="5">
        <f>+U57/$B57</f>
        <v>2.069950985216631E-3</v>
      </c>
      <c r="W57" s="172">
        <f>SUM(W58:W60)</f>
        <v>0</v>
      </c>
      <c r="X57" s="5">
        <f>+W57/$B57</f>
        <v>0</v>
      </c>
      <c r="Y57" s="172">
        <f>SUM(Y58:Y60)</f>
        <v>167800</v>
      </c>
      <c r="Z57" s="5">
        <f>+Y57/$B57</f>
        <v>0.23155851687956711</v>
      </c>
      <c r="AA57" s="4">
        <f>SUM(AA58:AA60)</f>
        <v>157560.81</v>
      </c>
      <c r="AB57" s="5">
        <f>+AA57/$B57</f>
        <v>0.21742876926068694</v>
      </c>
      <c r="AC57" s="4">
        <f t="shared" si="12"/>
        <v>724654.84000000008</v>
      </c>
      <c r="AD57" s="5">
        <f>+AC57/$B57</f>
        <v>1.0000000000000002</v>
      </c>
      <c r="AF57" s="26"/>
      <c r="AG57" s="113"/>
    </row>
    <row r="58" spans="1:34" s="25" customFormat="1" hidden="1">
      <c r="A58" s="14" t="s">
        <v>23</v>
      </c>
      <c r="B58" s="30">
        <v>724654.84</v>
      </c>
      <c r="C58" s="171">
        <v>0</v>
      </c>
      <c r="D58" s="115">
        <f>+C58/B58</f>
        <v>0</v>
      </c>
      <c r="E58" s="173">
        <v>81197</v>
      </c>
      <c r="F58" s="114">
        <f>+E58/$B58</f>
        <v>0.11204920676442319</v>
      </c>
      <c r="G58" s="173">
        <v>133151.1</v>
      </c>
      <c r="H58" s="114">
        <f>+G58/$B58</f>
        <v>0.18374416708511879</v>
      </c>
      <c r="I58" s="173">
        <v>61741.94</v>
      </c>
      <c r="J58" s="114">
        <f>+I58/$B58</f>
        <v>8.5201859688124076E-2</v>
      </c>
      <c r="K58" s="173">
        <v>72216.39</v>
      </c>
      <c r="L58" s="114">
        <f>+K58/$B58</f>
        <v>9.9656258419525634E-2</v>
      </c>
      <c r="M58" s="173">
        <v>29953.599999999999</v>
      </c>
      <c r="N58" s="114">
        <f>+M58/$B58</f>
        <v>4.1334989220523248E-2</v>
      </c>
      <c r="O58" s="173">
        <v>19534</v>
      </c>
      <c r="P58" s="114">
        <f>+O58/$B58</f>
        <v>2.6956281696814445E-2</v>
      </c>
      <c r="Q58" s="171">
        <v>0</v>
      </c>
      <c r="R58" s="114">
        <f>+Q58/$B58</f>
        <v>0</v>
      </c>
      <c r="S58" s="171">
        <v>0</v>
      </c>
      <c r="T58" s="114">
        <f>+S58/$B58</f>
        <v>0</v>
      </c>
      <c r="U58" s="171">
        <v>1500</v>
      </c>
      <c r="V58" s="114">
        <f>+U58/$B58</f>
        <v>2.069950985216631E-3</v>
      </c>
      <c r="W58" s="171">
        <v>0</v>
      </c>
      <c r="X58" s="114">
        <f>+W58/$B58</f>
        <v>0</v>
      </c>
      <c r="Y58" s="171">
        <v>167800</v>
      </c>
      <c r="Z58" s="114">
        <f>+Y58/$B58</f>
        <v>0.23155851687956711</v>
      </c>
      <c r="AA58" s="30">
        <v>157560.81</v>
      </c>
      <c r="AB58" s="114">
        <f>+AA58/$B58</f>
        <v>0.21742876926068694</v>
      </c>
      <c r="AC58" s="30">
        <f t="shared" si="12"/>
        <v>724654.84000000008</v>
      </c>
      <c r="AD58" s="114">
        <f>+AC58/$B58</f>
        <v>1.0000000000000002</v>
      </c>
      <c r="AF58" s="26"/>
      <c r="AG58" s="113"/>
      <c r="AH58" s="26"/>
    </row>
    <row r="59" spans="1:34" s="25" customFormat="1" hidden="1">
      <c r="A59" s="13" t="s">
        <v>24</v>
      </c>
      <c r="B59" s="28">
        <v>0</v>
      </c>
      <c r="C59" s="28">
        <v>0</v>
      </c>
      <c r="D59" s="34"/>
      <c r="E59" s="28">
        <v>0</v>
      </c>
      <c r="F59" s="38"/>
      <c r="G59" s="28">
        <v>0</v>
      </c>
      <c r="H59" s="38"/>
      <c r="I59" s="28">
        <v>0</v>
      </c>
      <c r="J59" s="38"/>
      <c r="K59" s="28">
        <v>0</v>
      </c>
      <c r="L59" s="38"/>
      <c r="M59" s="28">
        <v>0</v>
      </c>
      <c r="N59" s="38"/>
      <c r="O59" s="28">
        <v>0</v>
      </c>
      <c r="P59" s="38"/>
      <c r="Q59" s="28">
        <v>0</v>
      </c>
      <c r="R59" s="38"/>
      <c r="S59" s="28">
        <v>0</v>
      </c>
      <c r="T59" s="38"/>
      <c r="U59" s="28">
        <v>0</v>
      </c>
      <c r="V59" s="38"/>
      <c r="W59" s="28">
        <v>0</v>
      </c>
      <c r="X59" s="38"/>
      <c r="Y59" s="28">
        <v>0</v>
      </c>
      <c r="Z59" s="38"/>
      <c r="AA59" s="28"/>
      <c r="AB59" s="38"/>
      <c r="AC59" s="30">
        <f t="shared" si="12"/>
        <v>0</v>
      </c>
      <c r="AD59" s="38"/>
      <c r="AF59" s="26"/>
      <c r="AG59" s="113"/>
    </row>
    <row r="60" spans="1:34" s="25" customFormat="1" hidden="1">
      <c r="A60" s="13" t="s">
        <v>25</v>
      </c>
      <c r="B60" s="28">
        <v>0</v>
      </c>
      <c r="C60" s="28">
        <v>0</v>
      </c>
      <c r="D60" s="34"/>
      <c r="E60" s="28">
        <v>0</v>
      </c>
      <c r="F60" s="38"/>
      <c r="G60" s="28">
        <v>0</v>
      </c>
      <c r="H60" s="38"/>
      <c r="I60" s="28">
        <v>0</v>
      </c>
      <c r="J60" s="38"/>
      <c r="K60" s="28">
        <v>0</v>
      </c>
      <c r="L60" s="38"/>
      <c r="M60" s="28">
        <v>0</v>
      </c>
      <c r="N60" s="38"/>
      <c r="O60" s="28">
        <v>0</v>
      </c>
      <c r="P60" s="38"/>
      <c r="Q60" s="28">
        <v>0</v>
      </c>
      <c r="R60" s="38"/>
      <c r="S60" s="28">
        <v>0</v>
      </c>
      <c r="T60" s="38"/>
      <c r="U60" s="28">
        <v>0</v>
      </c>
      <c r="V60" s="38"/>
      <c r="W60" s="28">
        <v>0</v>
      </c>
      <c r="X60" s="38"/>
      <c r="Y60" s="28">
        <v>0</v>
      </c>
      <c r="Z60" s="38"/>
      <c r="AA60" s="28"/>
      <c r="AB60" s="38"/>
      <c r="AC60" s="30">
        <f t="shared" si="12"/>
        <v>0</v>
      </c>
      <c r="AD60" s="38"/>
      <c r="AF60" s="26"/>
      <c r="AG60" s="113"/>
    </row>
    <row r="61" spans="1:34" s="25" customFormat="1" hidden="1">
      <c r="A61" s="15" t="s">
        <v>17</v>
      </c>
      <c r="B61" s="16">
        <f>+B53+B57</f>
        <v>122468430.14000002</v>
      </c>
      <c r="C61" s="16">
        <f>+C53+C57</f>
        <v>11649097.289999999</v>
      </c>
      <c r="D61" s="17">
        <f t="shared" ref="D61:Z61" si="13">+D53+D57</f>
        <v>9.5685362650323513E-2</v>
      </c>
      <c r="E61" s="16">
        <f t="shared" si="13"/>
        <v>10728539.17</v>
      </c>
      <c r="F61" s="17">
        <f t="shared" si="13"/>
        <v>0.19950618059132241</v>
      </c>
      <c r="G61" s="16">
        <f t="shared" si="13"/>
        <v>10456473.91</v>
      </c>
      <c r="H61" s="17">
        <f t="shared" si="13"/>
        <v>0.26853965485902226</v>
      </c>
      <c r="I61" s="16">
        <f t="shared" si="13"/>
        <v>9741692.4799999986</v>
      </c>
      <c r="J61" s="17">
        <f t="shared" si="13"/>
        <v>0.16471270544715155</v>
      </c>
      <c r="K61" s="16">
        <f t="shared" si="13"/>
        <v>9360805</v>
      </c>
      <c r="L61" s="17">
        <f t="shared" si="13"/>
        <v>0.17595246811986665</v>
      </c>
      <c r="M61" s="16">
        <f t="shared" si="13"/>
        <v>8721589.0699999984</v>
      </c>
      <c r="N61" s="17">
        <f t="shared" si="13"/>
        <v>0.11272784235475652</v>
      </c>
      <c r="O61" s="16">
        <f t="shared" si="13"/>
        <v>8829719.4199999999</v>
      </c>
      <c r="P61" s="17">
        <f t="shared" si="13"/>
        <v>9.9322900838450329E-2</v>
      </c>
      <c r="Q61" s="16">
        <f t="shared" si="13"/>
        <v>8994302.6999999993</v>
      </c>
      <c r="R61" s="17">
        <f t="shared" si="13"/>
        <v>7.3878953382514323E-2</v>
      </c>
      <c r="S61" s="16">
        <f t="shared" si="13"/>
        <v>8372979.6299999999</v>
      </c>
      <c r="T61" s="17">
        <f t="shared" si="13"/>
        <v>6.8775422886035623E-2</v>
      </c>
      <c r="U61" s="16">
        <f t="shared" si="13"/>
        <v>8108759.2699999996</v>
      </c>
      <c r="V61" s="17">
        <f t="shared" si="13"/>
        <v>6.8662754190326358E-2</v>
      </c>
      <c r="W61" s="16">
        <f t="shared" si="13"/>
        <v>8663809.6500000004</v>
      </c>
      <c r="X61" s="17">
        <f t="shared" si="13"/>
        <v>7.1164292619074046E-2</v>
      </c>
      <c r="Y61" s="16">
        <f t="shared" si="13"/>
        <v>14284146.419999998</v>
      </c>
      <c r="Z61" s="17">
        <f t="shared" si="13"/>
        <v>0.34750979558120598</v>
      </c>
      <c r="AA61" s="24">
        <f>+AA53+AA57</f>
        <v>4556516.13</v>
      </c>
      <c r="AB61" s="17">
        <f>+AB53+AB57</f>
        <v>0.25356166647995038</v>
      </c>
      <c r="AC61" s="16">
        <f t="shared" si="12"/>
        <v>122468430.14</v>
      </c>
      <c r="AD61" s="17">
        <f>+AC61/B61</f>
        <v>0.99999999999999989</v>
      </c>
      <c r="AF61" s="26"/>
      <c r="AG61" s="113"/>
    </row>
    <row r="62" spans="1:34" s="25" customFormat="1" hidden="1">
      <c r="B62" s="36"/>
    </row>
    <row r="63" spans="1:34" s="165" customFormat="1" hidden="1">
      <c r="B63" s="36"/>
      <c r="AC63" s="118">
        <f>AC54+AC56+AC58</f>
        <v>122468430.14000002</v>
      </c>
    </row>
    <row r="64" spans="1:34" s="165" customFormat="1" hidden="1">
      <c r="B64" s="36"/>
    </row>
    <row r="65" spans="1:34" s="165" customFormat="1">
      <c r="B65" s="36"/>
    </row>
    <row r="66" spans="1:34" s="165" customFormat="1">
      <c r="B66" s="36"/>
    </row>
    <row r="67" spans="1:34" s="165" customFormat="1" ht="18">
      <c r="A67" s="262" t="s">
        <v>0</v>
      </c>
      <c r="B67" s="262"/>
      <c r="C67" s="262"/>
      <c r="D67" s="262"/>
      <c r="E67" s="262"/>
      <c r="F67" s="262"/>
      <c r="G67" s="262"/>
      <c r="H67" s="262"/>
      <c r="I67" s="262"/>
      <c r="J67" s="262"/>
      <c r="K67" s="262"/>
      <c r="L67" s="262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2"/>
      <c r="X67" s="262"/>
      <c r="Y67" s="262"/>
      <c r="Z67" s="262"/>
      <c r="AA67" s="262"/>
      <c r="AB67" s="262"/>
      <c r="AC67" s="262"/>
      <c r="AD67" s="262"/>
    </row>
    <row r="68" spans="1:34" s="165" customFormat="1" ht="18">
      <c r="A68" s="262" t="s">
        <v>79</v>
      </c>
      <c r="B68" s="262"/>
      <c r="C68" s="262"/>
      <c r="D68" s="262"/>
      <c r="E68" s="262"/>
      <c r="F68" s="262"/>
      <c r="G68" s="262"/>
      <c r="H68" s="2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62"/>
      <c r="Y68" s="262"/>
      <c r="Z68" s="262"/>
      <c r="AA68" s="262"/>
      <c r="AB68" s="262"/>
      <c r="AC68" s="262"/>
      <c r="AD68" s="262"/>
    </row>
    <row r="69" spans="1:34" s="165" customFormat="1" ht="18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</row>
    <row r="70" spans="1:34" s="165" customFormat="1" ht="22.5" customHeight="1">
      <c r="A70" s="278" t="s">
        <v>26</v>
      </c>
      <c r="B70" s="278" t="s">
        <v>51</v>
      </c>
      <c r="C70" s="275" t="s">
        <v>2</v>
      </c>
      <c r="D70" s="275"/>
      <c r="E70" s="275" t="s">
        <v>3</v>
      </c>
      <c r="F70" s="275"/>
      <c r="G70" s="275" t="s">
        <v>4</v>
      </c>
      <c r="H70" s="275"/>
      <c r="I70" s="275" t="s">
        <v>5</v>
      </c>
      <c r="J70" s="275"/>
      <c r="K70" s="275" t="s">
        <v>6</v>
      </c>
      <c r="L70" s="275"/>
      <c r="M70" s="275" t="s">
        <v>7</v>
      </c>
      <c r="N70" s="275"/>
      <c r="O70" s="275" t="s">
        <v>8</v>
      </c>
      <c r="P70" s="275"/>
      <c r="Q70" s="275" t="s">
        <v>9</v>
      </c>
      <c r="R70" s="275"/>
      <c r="S70" s="275" t="s">
        <v>10</v>
      </c>
      <c r="T70" s="275"/>
      <c r="U70" s="275" t="s">
        <v>11</v>
      </c>
      <c r="V70" s="275"/>
      <c r="W70" s="275" t="s">
        <v>12</v>
      </c>
      <c r="X70" s="275"/>
      <c r="Y70" s="275" t="s">
        <v>13</v>
      </c>
      <c r="Z70" s="275"/>
      <c r="AA70" s="275" t="s">
        <v>52</v>
      </c>
      <c r="AB70" s="275"/>
      <c r="AC70" s="275" t="s">
        <v>14</v>
      </c>
      <c r="AD70" s="275"/>
    </row>
    <row r="71" spans="1:34" s="165" customFormat="1">
      <c r="A71" s="278"/>
      <c r="B71" s="278"/>
      <c r="C71" s="169" t="s">
        <v>1</v>
      </c>
      <c r="D71" s="169" t="s">
        <v>15</v>
      </c>
      <c r="E71" s="169" t="s">
        <v>1</v>
      </c>
      <c r="F71" s="169"/>
      <c r="G71" s="169" t="s">
        <v>1</v>
      </c>
      <c r="H71" s="169"/>
      <c r="I71" s="169" t="s">
        <v>1</v>
      </c>
      <c r="J71" s="169" t="s">
        <v>15</v>
      </c>
      <c r="K71" s="169" t="s">
        <v>1</v>
      </c>
      <c r="L71" s="169" t="s">
        <v>15</v>
      </c>
      <c r="M71" s="169" t="s">
        <v>1</v>
      </c>
      <c r="N71" s="169" t="s">
        <v>15</v>
      </c>
      <c r="O71" s="169" t="s">
        <v>1</v>
      </c>
      <c r="P71" s="169" t="s">
        <v>15</v>
      </c>
      <c r="Q71" s="169" t="s">
        <v>1</v>
      </c>
      <c r="R71" s="169" t="s">
        <v>15</v>
      </c>
      <c r="S71" s="169" t="s">
        <v>1</v>
      </c>
      <c r="T71" s="169" t="s">
        <v>15</v>
      </c>
      <c r="U71" s="169" t="s">
        <v>1</v>
      </c>
      <c r="V71" s="169" t="s">
        <v>15</v>
      </c>
      <c r="W71" s="169" t="s">
        <v>1</v>
      </c>
      <c r="X71" s="169" t="s">
        <v>15</v>
      </c>
      <c r="Y71" s="169" t="s">
        <v>1</v>
      </c>
      <c r="Z71" s="169" t="s">
        <v>15</v>
      </c>
      <c r="AA71" s="169"/>
      <c r="AB71" s="169"/>
      <c r="AC71" s="169" t="s">
        <v>1</v>
      </c>
      <c r="AD71" s="169" t="s">
        <v>15</v>
      </c>
      <c r="AF71" s="118"/>
    </row>
    <row r="72" spans="1:34" s="165" customFormat="1">
      <c r="A72" s="12" t="s">
        <v>18</v>
      </c>
      <c r="B72" s="4">
        <f>SUM(B73:B75)</f>
        <v>130635819.98</v>
      </c>
      <c r="C72" s="4">
        <f>SUM(C73:C75)</f>
        <v>14134169.559999999</v>
      </c>
      <c r="D72" s="5">
        <f>+C72/$B72</f>
        <v>0.10819520681359754</v>
      </c>
      <c r="E72" s="4">
        <f>SUM(E73:E75)</f>
        <v>10833622.43</v>
      </c>
      <c r="F72" s="5">
        <f>+E72/$B72</f>
        <v>8.2929953144999569E-2</v>
      </c>
      <c r="G72" s="4">
        <f>SUM(G73:G75)</f>
        <v>10324871.260000002</v>
      </c>
      <c r="H72" s="5">
        <f>+G72/$B72</f>
        <v>7.9035529930310933E-2</v>
      </c>
      <c r="I72" s="4">
        <f>SUM(I73:I75)</f>
        <v>10016497.699999999</v>
      </c>
      <c r="J72" s="5">
        <f>+I72/$B72</f>
        <v>7.667497093472142E-2</v>
      </c>
      <c r="K72" s="4">
        <f>SUM(K73:K75)</f>
        <v>9649248.5700000003</v>
      </c>
      <c r="L72" s="5">
        <f>+K72/$B72</f>
        <v>7.3863727203436813E-2</v>
      </c>
      <c r="M72" s="4">
        <f>SUM(M73:M75)</f>
        <v>8663704.3000000007</v>
      </c>
      <c r="N72" s="5">
        <f>+M72/$B72</f>
        <v>6.6319515591714367E-2</v>
      </c>
      <c r="O72" s="4">
        <f>SUM(O73:O75)</f>
        <v>9241297.0700000003</v>
      </c>
      <c r="P72" s="5">
        <f>+O72/$B72</f>
        <v>7.074091218943486E-2</v>
      </c>
      <c r="Q72" s="4">
        <f>SUM(Q73:Q75)</f>
        <v>9891105.4199999999</v>
      </c>
      <c r="R72" s="5">
        <f>+Q72/$B72</f>
        <v>7.5715109542806108E-2</v>
      </c>
      <c r="S72" s="4">
        <f>SUM(S73:S75)</f>
        <v>8059372.0999999996</v>
      </c>
      <c r="T72" s="5">
        <f>+S72/$B72</f>
        <v>6.1693432178355587E-2</v>
      </c>
      <c r="U72" s="4">
        <f>SUM(U73:U75)</f>
        <v>10650921.02</v>
      </c>
      <c r="V72" s="5">
        <f>+U72/$B72</f>
        <v>8.153139790932247E-2</v>
      </c>
      <c r="W72" s="4">
        <f>SUM(W73:W75)</f>
        <v>8373809.6299999999</v>
      </c>
      <c r="X72" s="5">
        <f>+W72/$B72</f>
        <v>6.4100410065799779E-2</v>
      </c>
      <c r="Y72" s="4">
        <f>SUM(Y73:Y75)</f>
        <v>15319482.419999998</v>
      </c>
      <c r="Z72" s="5">
        <f>+Y72/$B72</f>
        <v>0.11726862067651407</v>
      </c>
      <c r="AA72" s="4">
        <f>SUM(AA73:AA75)</f>
        <v>5477718.5</v>
      </c>
      <c r="AB72" s="5">
        <f>+AA72/$B72</f>
        <v>4.1931213818986429E-2</v>
      </c>
      <c r="AC72" s="4">
        <f t="shared" ref="AC72:AC80" si="14">+C72+E72+G72+I72+K72+M72+O72+Q72+S72+U72+W72+Y72+AA72</f>
        <v>130635819.98</v>
      </c>
      <c r="AD72" s="5">
        <f>+AC72/$B72</f>
        <v>1</v>
      </c>
      <c r="AF72" s="118"/>
      <c r="AG72" s="113"/>
    </row>
    <row r="73" spans="1:34" s="165" customFormat="1">
      <c r="A73" s="13" t="s">
        <v>19</v>
      </c>
      <c r="B73" s="179">
        <v>68775151.760000005</v>
      </c>
      <c r="C73" s="28">
        <v>3573644.79</v>
      </c>
      <c r="D73" s="114">
        <f>+C73/$B73</f>
        <v>5.1961278144041126E-2</v>
      </c>
      <c r="E73" s="179">
        <v>5043909.74</v>
      </c>
      <c r="F73" s="114">
        <f>+E73/$B73</f>
        <v>7.3339129190167274E-2</v>
      </c>
      <c r="G73" s="179">
        <v>4993516.1100000003</v>
      </c>
      <c r="H73" s="114">
        <f>+G73/$B73</f>
        <v>7.2606399000405497E-2</v>
      </c>
      <c r="I73" s="179">
        <v>4964396.51</v>
      </c>
      <c r="J73" s="114">
        <f>+I73/$B73</f>
        <v>7.2182996081548725E-2</v>
      </c>
      <c r="K73" s="179">
        <v>5324271.26</v>
      </c>
      <c r="L73" s="114">
        <f>+K73/$B73</f>
        <v>7.7415623575499318E-2</v>
      </c>
      <c r="M73" s="179">
        <v>4953760.75</v>
      </c>
      <c r="N73" s="114">
        <f>+M73/$B73</f>
        <v>7.2028350693965806E-2</v>
      </c>
      <c r="O73" s="179">
        <v>5686488.5999999996</v>
      </c>
      <c r="P73" s="114">
        <f>+O73/$B73</f>
        <v>8.2682312644598063E-2</v>
      </c>
      <c r="Q73" s="179">
        <v>5839209.7800000003</v>
      </c>
      <c r="R73" s="114">
        <f>+Q73/$B73</f>
        <v>8.4902899238618851E-2</v>
      </c>
      <c r="S73" s="179">
        <v>4676152.38</v>
      </c>
      <c r="T73" s="114">
        <f>+S73/$B73</f>
        <v>6.7991887481659838E-2</v>
      </c>
      <c r="U73" s="179">
        <v>6726696.1100000003</v>
      </c>
      <c r="V73" s="114">
        <f>+U73/$B73</f>
        <v>9.7807070400567006E-2</v>
      </c>
      <c r="W73" s="179">
        <v>5664422.4699999997</v>
      </c>
      <c r="X73" s="114">
        <f>+W73/$B73</f>
        <v>8.23614681326586E-2</v>
      </c>
      <c r="Y73" s="179">
        <v>9605666.2799999993</v>
      </c>
      <c r="Z73" s="114">
        <f>+Y73/$B73</f>
        <v>0.13966768570021107</v>
      </c>
      <c r="AA73" s="180">
        <v>1723016.98</v>
      </c>
      <c r="AB73" s="114">
        <f>+AA73/$B73</f>
        <v>2.5052899716058726E-2</v>
      </c>
      <c r="AC73" s="30">
        <f t="shared" si="14"/>
        <v>68775151.760000005</v>
      </c>
      <c r="AD73" s="114">
        <f>+AC73/$B73</f>
        <v>1</v>
      </c>
      <c r="AF73" s="170"/>
      <c r="AG73" s="113"/>
      <c r="AH73" s="118"/>
    </row>
    <row r="74" spans="1:34" s="165" customFormat="1">
      <c r="A74" s="13" t="s">
        <v>20</v>
      </c>
      <c r="B74" s="28">
        <v>0</v>
      </c>
      <c r="C74" s="30">
        <v>0</v>
      </c>
      <c r="D74" s="114"/>
      <c r="E74" s="30">
        <v>0</v>
      </c>
      <c r="F74" s="114"/>
      <c r="G74" s="30">
        <v>0</v>
      </c>
      <c r="H74" s="114"/>
      <c r="I74" s="30">
        <v>0</v>
      </c>
      <c r="J74" s="114"/>
      <c r="K74" s="30">
        <v>0</v>
      </c>
      <c r="L74" s="114"/>
      <c r="M74" s="30">
        <v>0</v>
      </c>
      <c r="N74" s="114"/>
      <c r="O74" s="30">
        <v>0</v>
      </c>
      <c r="P74" s="114"/>
      <c r="Q74" s="30">
        <v>0</v>
      </c>
      <c r="R74" s="114"/>
      <c r="S74" s="30">
        <v>0</v>
      </c>
      <c r="T74" s="114"/>
      <c r="U74" s="30">
        <v>0</v>
      </c>
      <c r="V74" s="114"/>
      <c r="W74" s="30">
        <v>0</v>
      </c>
      <c r="X74" s="114"/>
      <c r="Y74" s="30"/>
      <c r="Z74" s="114"/>
      <c r="AA74" s="30">
        <v>0</v>
      </c>
      <c r="AB74" s="114"/>
      <c r="AC74" s="30">
        <f t="shared" si="14"/>
        <v>0</v>
      </c>
      <c r="AD74" s="114"/>
      <c r="AF74" s="170"/>
      <c r="AG74" s="113"/>
    </row>
    <row r="75" spans="1:34" s="165" customFormat="1">
      <c r="A75" s="13" t="s">
        <v>21</v>
      </c>
      <c r="B75" s="179">
        <v>61860668.219999999</v>
      </c>
      <c r="C75" s="179">
        <v>10560524.77</v>
      </c>
      <c r="D75" s="114">
        <f>+C75/$B75</f>
        <v>0.17071468954138627</v>
      </c>
      <c r="E75" s="179">
        <v>5789712.6900000004</v>
      </c>
      <c r="F75" s="114">
        <f>+E75/$B75</f>
        <v>9.359279258687582E-2</v>
      </c>
      <c r="G75" s="179">
        <v>5331355.1500000004</v>
      </c>
      <c r="H75" s="114">
        <f>+G75/$B75</f>
        <v>8.6183277733756114E-2</v>
      </c>
      <c r="I75" s="179">
        <v>5052101.1900000004</v>
      </c>
      <c r="J75" s="114">
        <f>+I75/$B75</f>
        <v>8.1669036810802176E-2</v>
      </c>
      <c r="K75" s="179">
        <v>4324977.3099999996</v>
      </c>
      <c r="L75" s="114">
        <f>+K75/$B75</f>
        <v>6.9914817192383696E-2</v>
      </c>
      <c r="M75" s="179">
        <v>3709943.55</v>
      </c>
      <c r="N75" s="114">
        <f>+M75/$B75</f>
        <v>5.997257476763803E-2</v>
      </c>
      <c r="O75" s="179">
        <v>3554808.47</v>
      </c>
      <c r="P75" s="114">
        <f>+O75/$B75</f>
        <v>5.7464760279629587E-2</v>
      </c>
      <c r="Q75" s="179">
        <v>4051895.64</v>
      </c>
      <c r="R75" s="114">
        <f>+Q75/$B75</f>
        <v>6.5500353562136154E-2</v>
      </c>
      <c r="S75" s="179">
        <v>3383219.72</v>
      </c>
      <c r="T75" s="114">
        <f>+S75/$B75</f>
        <v>5.46909662852006E-2</v>
      </c>
      <c r="U75" s="179">
        <v>3924224.91</v>
      </c>
      <c r="V75" s="114">
        <f>+U75/$B75</f>
        <v>6.3436510191645007E-2</v>
      </c>
      <c r="W75" s="179">
        <v>2709387.16</v>
      </c>
      <c r="X75" s="114">
        <f>+W75/$B75</f>
        <v>4.3798220063908648E-2</v>
      </c>
      <c r="Y75" s="179">
        <v>5713816.1399999997</v>
      </c>
      <c r="Z75" s="114">
        <f>+Y75/$B75</f>
        <v>9.2365897498544666E-2</v>
      </c>
      <c r="AA75" s="180">
        <v>3754701.52</v>
      </c>
      <c r="AB75" s="114">
        <f>+AA75/$B75</f>
        <v>6.069610348609325E-2</v>
      </c>
      <c r="AC75" s="30">
        <f t="shared" si="14"/>
        <v>61860668.219999991</v>
      </c>
      <c r="AD75" s="114">
        <f>+AC75/$B75</f>
        <v>0.99999999999999989</v>
      </c>
      <c r="AF75" s="118"/>
      <c r="AG75" s="113"/>
      <c r="AH75" s="118"/>
    </row>
    <row r="76" spans="1:34" s="165" customFormat="1">
      <c r="A76" s="12" t="s">
        <v>22</v>
      </c>
      <c r="B76" s="4">
        <f>SUM(B77:B79)</f>
        <v>3828292.53</v>
      </c>
      <c r="C76" s="4">
        <f>SUM(C77:C79)</f>
        <v>0</v>
      </c>
      <c r="D76" s="20">
        <f>+C76/B76</f>
        <v>0</v>
      </c>
      <c r="E76" s="4">
        <f>SUM(E77:E79)</f>
        <v>0</v>
      </c>
      <c r="F76" s="5">
        <f>+E76/$B76</f>
        <v>0</v>
      </c>
      <c r="G76" s="4">
        <f>SUM(G77:G79)</f>
        <v>546</v>
      </c>
      <c r="H76" s="5">
        <f>+G76/$B76</f>
        <v>1.4262232985628193E-4</v>
      </c>
      <c r="I76" s="4">
        <f>SUM(I77:I79)</f>
        <v>226800</v>
      </c>
      <c r="J76" s="5">
        <f>+I76/$B76</f>
        <v>5.9243121632609412E-2</v>
      </c>
      <c r="K76" s="4">
        <f>SUM(K77:K79)</f>
        <v>235228.03</v>
      </c>
      <c r="L76" s="5">
        <f>+K76/$B76</f>
        <v>6.144463312473146E-2</v>
      </c>
      <c r="M76" s="4">
        <f>SUM(M77:M79)</f>
        <v>0</v>
      </c>
      <c r="N76" s="5">
        <f>+M76/$B76</f>
        <v>0</v>
      </c>
      <c r="O76" s="4">
        <f>SUM(O77:O79)</f>
        <v>485100</v>
      </c>
      <c r="P76" s="5">
        <f>+O76/$B76</f>
        <v>0.12671445460308123</v>
      </c>
      <c r="Q76" s="4">
        <f>SUM(Q77:Q79)</f>
        <v>0</v>
      </c>
      <c r="R76" s="5">
        <f>+Q76/$B76</f>
        <v>0</v>
      </c>
      <c r="S76" s="4">
        <f>SUM(S77:S79)</f>
        <v>683.4</v>
      </c>
      <c r="T76" s="5">
        <f>+S76/$B76</f>
        <v>1.7851300407286275E-4</v>
      </c>
      <c r="U76" s="4">
        <f>SUM(U77:U79)</f>
        <v>26000</v>
      </c>
      <c r="V76" s="5">
        <f>+U76/$B76</f>
        <v>6.7915395169658053E-3</v>
      </c>
      <c r="W76" s="4">
        <f>SUM(W77:W79)</f>
        <v>4359.84</v>
      </c>
      <c r="X76" s="5">
        <f>+W76/$B76</f>
        <v>1.1388471402941614E-3</v>
      </c>
      <c r="Y76" s="4">
        <f>SUM(Y77:Y79)</f>
        <v>167800</v>
      </c>
      <c r="Z76" s="5">
        <f>+Y76/$B76</f>
        <v>4.3831551190263926E-2</v>
      </c>
      <c r="AA76" s="4">
        <f>SUM(AA77:AA79)</f>
        <v>2681775.2599999998</v>
      </c>
      <c r="AB76" s="5">
        <f>+AA76/$B76</f>
        <v>0.70051471745812488</v>
      </c>
      <c r="AC76" s="4">
        <f t="shared" si="14"/>
        <v>3828292.53</v>
      </c>
      <c r="AD76" s="5">
        <f>+AC76/$B76</f>
        <v>1</v>
      </c>
      <c r="AF76" s="118"/>
      <c r="AG76" s="113"/>
    </row>
    <row r="77" spans="1:34" s="165" customFormat="1">
      <c r="A77" s="14" t="s">
        <v>23</v>
      </c>
      <c r="B77" s="179">
        <v>3828292.53</v>
      </c>
      <c r="C77" s="30">
        <v>0</v>
      </c>
      <c r="D77" s="115">
        <f>+C77/B77</f>
        <v>0</v>
      </c>
      <c r="E77" s="180"/>
      <c r="F77" s="114">
        <f>+E77/$B77</f>
        <v>0</v>
      </c>
      <c r="G77" s="181">
        <v>546</v>
      </c>
      <c r="H77" s="114">
        <f>+G77/$B77</f>
        <v>1.4262232985628193E-4</v>
      </c>
      <c r="I77" s="179">
        <v>226800</v>
      </c>
      <c r="J77" s="114">
        <f>+I77/$B77</f>
        <v>5.9243121632609412E-2</v>
      </c>
      <c r="K77" s="179">
        <v>235228.03</v>
      </c>
      <c r="L77" s="114">
        <f>+K77/$B77</f>
        <v>6.144463312473146E-2</v>
      </c>
      <c r="M77" s="180"/>
      <c r="N77" s="114">
        <f>+M77/$B77</f>
        <v>0</v>
      </c>
      <c r="O77" s="179">
        <v>485100</v>
      </c>
      <c r="P77" s="114">
        <f>+O77/$B77</f>
        <v>0.12671445460308123</v>
      </c>
      <c r="Q77" s="30">
        <v>0</v>
      </c>
      <c r="R77" s="114">
        <f>+Q77/$B77</f>
        <v>0</v>
      </c>
      <c r="S77" s="181">
        <v>683.4</v>
      </c>
      <c r="T77" s="114">
        <f>+S77/$B77</f>
        <v>1.7851300407286275E-4</v>
      </c>
      <c r="U77" s="179">
        <v>26000</v>
      </c>
      <c r="V77" s="114">
        <f>+U77/$B77</f>
        <v>6.7915395169658053E-3</v>
      </c>
      <c r="W77" s="179">
        <v>4359.84</v>
      </c>
      <c r="X77" s="114">
        <f>+W77/$B77</f>
        <v>1.1388471402941614E-3</v>
      </c>
      <c r="Y77" s="30">
        <v>167800</v>
      </c>
      <c r="Z77" s="114">
        <f>+Y77/$B77</f>
        <v>4.3831551190263926E-2</v>
      </c>
      <c r="AA77" s="30">
        <v>2681775.2599999998</v>
      </c>
      <c r="AB77" s="114">
        <f>+AA77/$B77</f>
        <v>0.70051471745812488</v>
      </c>
      <c r="AC77" s="30">
        <f t="shared" si="14"/>
        <v>3828292.53</v>
      </c>
      <c r="AD77" s="114">
        <f>+AC77/$B77</f>
        <v>1</v>
      </c>
      <c r="AF77" s="118"/>
      <c r="AG77" s="113"/>
      <c r="AH77" s="118"/>
    </row>
    <row r="78" spans="1:34" s="165" customFormat="1">
      <c r="A78" s="13" t="s">
        <v>24</v>
      </c>
      <c r="B78" s="28">
        <v>0</v>
      </c>
      <c r="C78" s="28">
        <v>0</v>
      </c>
      <c r="D78" s="34"/>
      <c r="E78" s="28">
        <v>0</v>
      </c>
      <c r="F78" s="38"/>
      <c r="G78" s="28">
        <v>0</v>
      </c>
      <c r="H78" s="38"/>
      <c r="I78" s="28">
        <v>0</v>
      </c>
      <c r="J78" s="38"/>
      <c r="K78" s="28">
        <v>0</v>
      </c>
      <c r="L78" s="38"/>
      <c r="M78" s="28">
        <v>0</v>
      </c>
      <c r="N78" s="38"/>
      <c r="O78" s="28">
        <v>0</v>
      </c>
      <c r="P78" s="38"/>
      <c r="Q78" s="28">
        <v>0</v>
      </c>
      <c r="R78" s="38"/>
      <c r="S78" s="28">
        <v>0</v>
      </c>
      <c r="T78" s="38"/>
      <c r="U78" s="28">
        <v>0</v>
      </c>
      <c r="V78" s="38"/>
      <c r="W78" s="28">
        <v>0</v>
      </c>
      <c r="X78" s="38"/>
      <c r="Y78" s="28">
        <v>0</v>
      </c>
      <c r="Z78" s="38"/>
      <c r="AA78" s="28"/>
      <c r="AB78" s="38"/>
      <c r="AC78" s="30">
        <f t="shared" si="14"/>
        <v>0</v>
      </c>
      <c r="AD78" s="38"/>
      <c r="AF78" s="170"/>
      <c r="AG78" s="113"/>
    </row>
    <row r="79" spans="1:34" s="165" customFormat="1">
      <c r="A79" s="13" t="s">
        <v>25</v>
      </c>
      <c r="B79" s="28">
        <v>0</v>
      </c>
      <c r="C79" s="28">
        <v>0</v>
      </c>
      <c r="D79" s="34"/>
      <c r="E79" s="28">
        <v>0</v>
      </c>
      <c r="F79" s="38"/>
      <c r="G79" s="28">
        <v>0</v>
      </c>
      <c r="H79" s="38"/>
      <c r="I79" s="28">
        <v>0</v>
      </c>
      <c r="J79" s="38"/>
      <c r="K79" s="28">
        <v>0</v>
      </c>
      <c r="L79" s="38"/>
      <c r="M79" s="28">
        <v>0</v>
      </c>
      <c r="N79" s="38"/>
      <c r="O79" s="28">
        <v>0</v>
      </c>
      <c r="P79" s="38"/>
      <c r="Q79" s="28">
        <v>0</v>
      </c>
      <c r="R79" s="38"/>
      <c r="S79" s="28">
        <v>0</v>
      </c>
      <c r="T79" s="38"/>
      <c r="U79" s="28">
        <v>0</v>
      </c>
      <c r="V79" s="38"/>
      <c r="W79" s="28">
        <v>0</v>
      </c>
      <c r="X79" s="38"/>
      <c r="Y79" s="28">
        <v>0</v>
      </c>
      <c r="Z79" s="38"/>
      <c r="AA79" s="28"/>
      <c r="AB79" s="38"/>
      <c r="AC79" s="30">
        <f t="shared" si="14"/>
        <v>0</v>
      </c>
      <c r="AD79" s="38"/>
      <c r="AF79" s="118"/>
      <c r="AG79" s="113"/>
    </row>
    <row r="80" spans="1:34" s="165" customFormat="1">
      <c r="A80" s="15" t="s">
        <v>17</v>
      </c>
      <c r="B80" s="16">
        <f>+B72+B76</f>
        <v>134464112.50999999</v>
      </c>
      <c r="C80" s="16">
        <f>+C72+C76</f>
        <v>14134169.559999999</v>
      </c>
      <c r="D80" s="17">
        <f t="shared" ref="D80:Z80" si="15">+D72+D76</f>
        <v>0.10819520681359754</v>
      </c>
      <c r="E80" s="16">
        <f t="shared" si="15"/>
        <v>10833622.43</v>
      </c>
      <c r="F80" s="17">
        <f t="shared" si="15"/>
        <v>8.2929953144999569E-2</v>
      </c>
      <c r="G80" s="16">
        <f t="shared" si="15"/>
        <v>10325417.260000002</v>
      </c>
      <c r="H80" s="17">
        <f t="shared" si="15"/>
        <v>7.9178152260167209E-2</v>
      </c>
      <c r="I80" s="16">
        <f t="shared" si="15"/>
        <v>10243297.699999999</v>
      </c>
      <c r="J80" s="17">
        <f t="shared" si="15"/>
        <v>0.13591809256733084</v>
      </c>
      <c r="K80" s="16">
        <f t="shared" si="15"/>
        <v>9884476.5999999996</v>
      </c>
      <c r="L80" s="17">
        <f t="shared" si="15"/>
        <v>0.13530836032816829</v>
      </c>
      <c r="M80" s="16">
        <f t="shared" si="15"/>
        <v>8663704.3000000007</v>
      </c>
      <c r="N80" s="17">
        <f t="shared" si="15"/>
        <v>6.6319515591714367E-2</v>
      </c>
      <c r="O80" s="16">
        <f t="shared" si="15"/>
        <v>9726397.0700000003</v>
      </c>
      <c r="P80" s="17">
        <f t="shared" si="15"/>
        <v>0.19745536679251607</v>
      </c>
      <c r="Q80" s="16">
        <f t="shared" si="15"/>
        <v>9891105.4199999999</v>
      </c>
      <c r="R80" s="17">
        <f t="shared" si="15"/>
        <v>7.5715109542806108E-2</v>
      </c>
      <c r="S80" s="16">
        <f t="shared" si="15"/>
        <v>8060055.5</v>
      </c>
      <c r="T80" s="17">
        <f t="shared" si="15"/>
        <v>6.1871945182428452E-2</v>
      </c>
      <c r="U80" s="16">
        <f t="shared" si="15"/>
        <v>10676921.02</v>
      </c>
      <c r="V80" s="17">
        <f t="shared" si="15"/>
        <v>8.8322937426288273E-2</v>
      </c>
      <c r="W80" s="16">
        <f t="shared" si="15"/>
        <v>8378169.4699999997</v>
      </c>
      <c r="X80" s="17">
        <f t="shared" si="15"/>
        <v>6.5239257206093942E-2</v>
      </c>
      <c r="Y80" s="16">
        <f t="shared" si="15"/>
        <v>15487282.419999998</v>
      </c>
      <c r="Z80" s="17">
        <f t="shared" si="15"/>
        <v>0.161100171866778</v>
      </c>
      <c r="AA80" s="24">
        <f>+AA72+AA76</f>
        <v>8159493.7599999998</v>
      </c>
      <c r="AB80" s="17">
        <f>+AB72+AB76</f>
        <v>0.74244593127711134</v>
      </c>
      <c r="AC80" s="16">
        <f t="shared" si="14"/>
        <v>134464112.51000002</v>
      </c>
      <c r="AD80" s="17">
        <f>+AC80/B80</f>
        <v>1.0000000000000002</v>
      </c>
      <c r="AF80" s="118"/>
      <c r="AG80" s="113"/>
    </row>
    <row r="81" spans="1:32" s="165" customFormat="1">
      <c r="B81" s="36"/>
    </row>
    <row r="82" spans="1:32" s="165" customFormat="1">
      <c r="B82" s="36"/>
    </row>
    <row r="83" spans="1:32" s="165" customFormat="1">
      <c r="B83" s="36"/>
    </row>
    <row r="84" spans="1:32" s="165" customFormat="1" ht="18">
      <c r="A84" s="262" t="s">
        <v>0</v>
      </c>
      <c r="B84" s="262"/>
      <c r="C84" s="262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2"/>
      <c r="T84" s="262"/>
      <c r="U84" s="262"/>
      <c r="V84" s="262"/>
      <c r="W84" s="262"/>
      <c r="X84" s="262"/>
      <c r="Y84" s="262"/>
      <c r="Z84" s="262"/>
      <c r="AA84" s="262"/>
      <c r="AB84" s="262"/>
      <c r="AC84" s="262"/>
      <c r="AD84" s="262"/>
    </row>
    <row r="85" spans="1:32" s="165" customFormat="1" ht="18">
      <c r="A85" s="262" t="s">
        <v>86</v>
      </c>
      <c r="B85" s="262"/>
      <c r="C85" s="262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</row>
    <row r="86" spans="1:32" s="165" customFormat="1" ht="18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</row>
    <row r="87" spans="1:32" s="165" customFormat="1">
      <c r="A87" s="278" t="s">
        <v>26</v>
      </c>
      <c r="B87" s="278" t="s">
        <v>51</v>
      </c>
      <c r="C87" s="275" t="s">
        <v>2</v>
      </c>
      <c r="D87" s="275"/>
      <c r="E87" s="275" t="s">
        <v>3</v>
      </c>
      <c r="F87" s="275"/>
      <c r="G87" s="275" t="s">
        <v>4</v>
      </c>
      <c r="H87" s="275"/>
      <c r="I87" s="275" t="s">
        <v>5</v>
      </c>
      <c r="J87" s="275"/>
      <c r="K87" s="275" t="s">
        <v>6</v>
      </c>
      <c r="L87" s="275"/>
      <c r="M87" s="275" t="s">
        <v>7</v>
      </c>
      <c r="N87" s="275"/>
      <c r="O87" s="275" t="s">
        <v>8</v>
      </c>
      <c r="P87" s="275"/>
      <c r="Q87" s="275" t="s">
        <v>9</v>
      </c>
      <c r="R87" s="275"/>
      <c r="S87" s="275" t="s">
        <v>10</v>
      </c>
      <c r="T87" s="275"/>
      <c r="U87" s="275" t="s">
        <v>11</v>
      </c>
      <c r="V87" s="275"/>
      <c r="W87" s="275" t="s">
        <v>12</v>
      </c>
      <c r="X87" s="275"/>
      <c r="Y87" s="275" t="s">
        <v>13</v>
      </c>
      <c r="Z87" s="275"/>
      <c r="AA87" s="275" t="s">
        <v>52</v>
      </c>
      <c r="AB87" s="275"/>
      <c r="AC87" s="275" t="s">
        <v>14</v>
      </c>
      <c r="AD87" s="275"/>
    </row>
    <row r="88" spans="1:32" s="165" customFormat="1">
      <c r="A88" s="278"/>
      <c r="B88" s="278"/>
      <c r="C88" s="183" t="s">
        <v>1</v>
      </c>
      <c r="D88" s="183" t="s">
        <v>15</v>
      </c>
      <c r="E88" s="183" t="s">
        <v>1</v>
      </c>
      <c r="F88" s="183"/>
      <c r="G88" s="183" t="s">
        <v>1</v>
      </c>
      <c r="H88" s="183"/>
      <c r="I88" s="183" t="s">
        <v>1</v>
      </c>
      <c r="J88" s="183" t="s">
        <v>15</v>
      </c>
      <c r="K88" s="183" t="s">
        <v>1</v>
      </c>
      <c r="L88" s="183" t="s">
        <v>15</v>
      </c>
      <c r="M88" s="183" t="s">
        <v>1</v>
      </c>
      <c r="N88" s="183" t="s">
        <v>15</v>
      </c>
      <c r="O88" s="183" t="s">
        <v>1</v>
      </c>
      <c r="P88" s="183" t="s">
        <v>15</v>
      </c>
      <c r="Q88" s="183" t="s">
        <v>1</v>
      </c>
      <c r="R88" s="183" t="s">
        <v>15</v>
      </c>
      <c r="S88" s="183" t="s">
        <v>1</v>
      </c>
      <c r="T88" s="183" t="s">
        <v>15</v>
      </c>
      <c r="U88" s="183" t="s">
        <v>1</v>
      </c>
      <c r="V88" s="183" t="s">
        <v>15</v>
      </c>
      <c r="W88" s="183" t="s">
        <v>1</v>
      </c>
      <c r="X88" s="183" t="s">
        <v>15</v>
      </c>
      <c r="Y88" s="183" t="s">
        <v>1</v>
      </c>
      <c r="Z88" s="183" t="s">
        <v>15</v>
      </c>
      <c r="AA88" s="183"/>
      <c r="AB88" s="183"/>
      <c r="AC88" s="183" t="s">
        <v>1</v>
      </c>
      <c r="AD88" s="183" t="s">
        <v>15</v>
      </c>
    </row>
    <row r="89" spans="1:32" s="165" customFormat="1">
      <c r="A89" s="12" t="s">
        <v>18</v>
      </c>
      <c r="B89" s="4">
        <f>SUM(B90:B92)</f>
        <v>124108353.64</v>
      </c>
      <c r="C89" s="4">
        <f>SUM(C90:C92)</f>
        <v>14928064.619999999</v>
      </c>
      <c r="D89" s="5">
        <f>+C89/$B89</f>
        <v>0.12028251267679937</v>
      </c>
      <c r="E89" s="4">
        <f>SUM(E90:E92)</f>
        <v>10608025.77</v>
      </c>
      <c r="F89" s="5">
        <f>+E89/$B89</f>
        <v>8.5473906138265318E-2</v>
      </c>
      <c r="G89" s="4">
        <f>SUM(G90:G92)</f>
        <v>10005576.18</v>
      </c>
      <c r="H89" s="5">
        <f>+G89/$B89</f>
        <v>8.0619683418112903E-2</v>
      </c>
      <c r="I89" s="4">
        <f>SUM(I90:I92)</f>
        <v>9377029.0600000005</v>
      </c>
      <c r="J89" s="5">
        <f>+I89/$B89</f>
        <v>7.5555180493328156E-2</v>
      </c>
      <c r="K89" s="4">
        <f>SUM(K90:K92)</f>
        <v>7565768.8899999997</v>
      </c>
      <c r="L89" s="5">
        <f>+K89/$B89</f>
        <v>6.0960996323792663E-2</v>
      </c>
      <c r="M89" s="4">
        <f>SUM(M90:M92)</f>
        <v>7759979.3800000008</v>
      </c>
      <c r="N89" s="5">
        <f>+M89/$B89</f>
        <v>6.2525842559392128E-2</v>
      </c>
      <c r="O89" s="4">
        <f>SUM(O90:O92)</f>
        <v>8541410.1300000008</v>
      </c>
      <c r="P89" s="5">
        <f>+O89/$B89</f>
        <v>6.8822201564094493E-2</v>
      </c>
      <c r="Q89" s="4">
        <f>SUM(Q90:Q92)</f>
        <v>8120203.2699999996</v>
      </c>
      <c r="R89" s="5">
        <f>+Q89/$B89</f>
        <v>6.5428337673015965E-2</v>
      </c>
      <c r="S89" s="4">
        <f>SUM(S90:S92)</f>
        <v>8253591.0899999999</v>
      </c>
      <c r="T89" s="5">
        <f>+S89/$B89</f>
        <v>6.6503106744459112E-2</v>
      </c>
      <c r="U89" s="4">
        <f>SUM(U90:U92)</f>
        <v>8214863.8700000001</v>
      </c>
      <c r="V89" s="5">
        <f>+U89/$B89</f>
        <v>6.6191063123992311E-2</v>
      </c>
      <c r="W89" s="4">
        <f>SUM(W90:W92)</f>
        <v>8449199.0999999996</v>
      </c>
      <c r="X89" s="5">
        <f>+W89/$B89</f>
        <v>6.8079213463007632E-2</v>
      </c>
      <c r="Y89" s="4">
        <f>SUM(Y90:Y92)</f>
        <v>16409482.73</v>
      </c>
      <c r="Z89" s="5">
        <f>+Y89/$B89</f>
        <v>0.13221900257897903</v>
      </c>
      <c r="AA89" s="4">
        <f>SUM(AA90:AA92)</f>
        <v>5875159.5499999998</v>
      </c>
      <c r="AB89" s="5">
        <f>+AA89/$B89</f>
        <v>4.7338953242760939E-2</v>
      </c>
      <c r="AC89" s="4">
        <f t="shared" ref="AC89:AC97" si="16">+C89+E89+G89+I89+K89+M89+O89+Q89+S89+U89+W89+Y89+AA89</f>
        <v>124108353.64</v>
      </c>
      <c r="AD89" s="5">
        <f>+AC89/$B89</f>
        <v>1</v>
      </c>
      <c r="AF89" s="165">
        <v>119226697.28</v>
      </c>
    </row>
    <row r="90" spans="1:32" s="165" customFormat="1">
      <c r="A90" s="13" t="s">
        <v>19</v>
      </c>
      <c r="B90" s="179">
        <v>68928778.840000004</v>
      </c>
      <c r="C90" s="28">
        <v>3311406.26</v>
      </c>
      <c r="D90" s="114">
        <f>+C90/$B90</f>
        <v>4.8040982529032709E-2</v>
      </c>
      <c r="E90" s="179">
        <v>5611178.8700000001</v>
      </c>
      <c r="F90" s="114">
        <f>+E90/$B90</f>
        <v>8.1405458858118951E-2</v>
      </c>
      <c r="G90" s="179">
        <v>5281560.93</v>
      </c>
      <c r="H90" s="114">
        <f>+G90/$B90</f>
        <v>7.6623451320090144E-2</v>
      </c>
      <c r="I90" s="179">
        <v>5276397.4400000004</v>
      </c>
      <c r="J90" s="114">
        <f>+I90/$B90</f>
        <v>7.6548540809750404E-2</v>
      </c>
      <c r="K90" s="179">
        <v>5035394.3099999996</v>
      </c>
      <c r="L90" s="114">
        <f>+K90/$B90</f>
        <v>7.3052132864392397E-2</v>
      </c>
      <c r="M90" s="179">
        <v>4965161.3600000003</v>
      </c>
      <c r="N90" s="114">
        <f>+M90/$B90</f>
        <v>7.2033212303460561E-2</v>
      </c>
      <c r="O90" s="179">
        <v>5436406.2800000003</v>
      </c>
      <c r="P90" s="114">
        <f>+O90/$B90</f>
        <v>7.8869905596604062E-2</v>
      </c>
      <c r="Q90" s="179">
        <v>5364115.25</v>
      </c>
      <c r="R90" s="114">
        <f>+Q90/$B90</f>
        <v>7.7821126970077037E-2</v>
      </c>
      <c r="S90" s="179">
        <v>5496381.1399999997</v>
      </c>
      <c r="T90" s="114">
        <f>+S90/$B90</f>
        <v>7.9740004574263529E-2</v>
      </c>
      <c r="U90" s="179">
        <v>5248028.87</v>
      </c>
      <c r="V90" s="114">
        <f>+U90/$B90</f>
        <v>7.6136977302062994E-2</v>
      </c>
      <c r="W90" s="179">
        <v>5173510.25</v>
      </c>
      <c r="X90" s="114">
        <f>+W90/$B90</f>
        <v>7.5055881404905503E-2</v>
      </c>
      <c r="Y90" s="179">
        <v>9916370.4000000004</v>
      </c>
      <c r="Z90" s="114">
        <f>+Y90/$B90</f>
        <v>0.14386400813828779</v>
      </c>
      <c r="AA90" s="180">
        <v>2812867.48</v>
      </c>
      <c r="AB90" s="114">
        <f>+AA90/$B90</f>
        <v>4.0808317328953854E-2</v>
      </c>
      <c r="AC90" s="30">
        <f t="shared" si="16"/>
        <v>68928778.839999989</v>
      </c>
      <c r="AD90" s="114">
        <f>+AC90/$B90</f>
        <v>0.99999999999999978</v>
      </c>
      <c r="AF90" s="118">
        <v>5939159.5499999998</v>
      </c>
    </row>
    <row r="91" spans="1:32" s="165" customFormat="1">
      <c r="A91" s="13" t="s">
        <v>20</v>
      </c>
      <c r="B91" s="28">
        <v>0</v>
      </c>
      <c r="C91" s="30">
        <v>0</v>
      </c>
      <c r="D91" s="114"/>
      <c r="E91" s="30">
        <v>0</v>
      </c>
      <c r="F91" s="114"/>
      <c r="G91" s="30">
        <v>0</v>
      </c>
      <c r="H91" s="114"/>
      <c r="I91" s="30">
        <v>0</v>
      </c>
      <c r="J91" s="114"/>
      <c r="K91" s="30">
        <v>0</v>
      </c>
      <c r="L91" s="114"/>
      <c r="M91" s="30">
        <v>0</v>
      </c>
      <c r="N91" s="114"/>
      <c r="O91" s="30">
        <v>0</v>
      </c>
      <c r="P91" s="114"/>
      <c r="Q91" s="30">
        <v>0</v>
      </c>
      <c r="R91" s="114"/>
      <c r="S91" s="30">
        <v>0</v>
      </c>
      <c r="T91" s="114"/>
      <c r="U91" s="30">
        <v>0</v>
      </c>
      <c r="V91" s="114"/>
      <c r="W91" s="30">
        <v>0</v>
      </c>
      <c r="X91" s="114"/>
      <c r="Y91" s="30"/>
      <c r="Z91" s="114"/>
      <c r="AA91" s="30">
        <v>0</v>
      </c>
      <c r="AB91" s="114"/>
      <c r="AC91" s="30">
        <f t="shared" si="16"/>
        <v>0</v>
      </c>
      <c r="AD91" s="114"/>
      <c r="AF91" s="118">
        <f>AF89+AF90</f>
        <v>125165856.83</v>
      </c>
    </row>
    <row r="92" spans="1:32" s="165" customFormat="1">
      <c r="A92" s="13" t="s">
        <v>21</v>
      </c>
      <c r="B92" s="179">
        <v>55179574.799999997</v>
      </c>
      <c r="C92" s="179">
        <v>11616658.359999999</v>
      </c>
      <c r="D92" s="114">
        <f>+C92/$B92</f>
        <v>0.21052460810190948</v>
      </c>
      <c r="E92" s="179">
        <v>4996846.9000000004</v>
      </c>
      <c r="F92" s="114">
        <f>+E92/$B92</f>
        <v>9.0556096492428947E-2</v>
      </c>
      <c r="G92" s="179">
        <v>4724015.25</v>
      </c>
      <c r="H92" s="114">
        <f>+G92/$B92</f>
        <v>8.5611664590064945E-2</v>
      </c>
      <c r="I92" s="179">
        <v>4100631.62</v>
      </c>
      <c r="J92" s="114">
        <f>+I92/$B92</f>
        <v>7.4314302617641784E-2</v>
      </c>
      <c r="K92" s="179">
        <v>2530374.58</v>
      </c>
      <c r="L92" s="114">
        <f>+K92/$B92</f>
        <v>4.5857087322100934E-2</v>
      </c>
      <c r="M92" s="179">
        <v>2794818.02</v>
      </c>
      <c r="N92" s="114">
        <f>+M92/$B92</f>
        <v>5.064950264894031E-2</v>
      </c>
      <c r="O92" s="179">
        <v>3105003.85</v>
      </c>
      <c r="P92" s="114">
        <f>+O92/$B92</f>
        <v>5.627089119940084E-2</v>
      </c>
      <c r="Q92" s="179">
        <v>2756088.02</v>
      </c>
      <c r="R92" s="114">
        <f>+Q92/$B92</f>
        <v>4.9947612499543943E-2</v>
      </c>
      <c r="S92" s="179">
        <v>2757209.95</v>
      </c>
      <c r="T92" s="114">
        <f>+S92/$B92</f>
        <v>4.996794484179317E-2</v>
      </c>
      <c r="U92" s="179">
        <v>2966835</v>
      </c>
      <c r="V92" s="114">
        <f>+U92/$B92</f>
        <v>5.3766905793554615E-2</v>
      </c>
      <c r="W92" s="179">
        <v>3275688.85</v>
      </c>
      <c r="X92" s="114">
        <f>+W92/$B92</f>
        <v>5.9364155339594972E-2</v>
      </c>
      <c r="Y92" s="179">
        <v>6493112.3300000001</v>
      </c>
      <c r="Z92" s="114">
        <f>+Y92/$B92</f>
        <v>0.11767238789958925</v>
      </c>
      <c r="AA92" s="180">
        <v>3062292.07</v>
      </c>
      <c r="AB92" s="114">
        <f>+AA92/$B92</f>
        <v>5.5496840653436859E-2</v>
      </c>
      <c r="AC92" s="30">
        <f t="shared" si="16"/>
        <v>55179574.800000004</v>
      </c>
      <c r="AD92" s="114">
        <f>+AC92/$B92</f>
        <v>1.0000000000000002</v>
      </c>
      <c r="AF92" s="118"/>
    </row>
    <row r="93" spans="1:32" s="165" customFormat="1">
      <c r="A93" s="12" t="s">
        <v>22</v>
      </c>
      <c r="B93" s="4">
        <f>SUM(B94:B96)</f>
        <v>1057503.19</v>
      </c>
      <c r="C93" s="4">
        <f>SUM(C94:C96)</f>
        <v>0</v>
      </c>
      <c r="D93" s="20">
        <f>+C93/B93</f>
        <v>0</v>
      </c>
      <c r="E93" s="4">
        <f>SUM(E94:E96)</f>
        <v>0</v>
      </c>
      <c r="F93" s="5">
        <f>+E93/$B93</f>
        <v>0</v>
      </c>
      <c r="G93" s="4">
        <f>SUM(G94:G96)</f>
        <v>0</v>
      </c>
      <c r="H93" s="5">
        <f>+G93/$B93</f>
        <v>0</v>
      </c>
      <c r="I93" s="4">
        <f>SUM(I94:I96)</f>
        <v>103451.89</v>
      </c>
      <c r="J93" s="5">
        <f>+I93/$B93</f>
        <v>9.7826551237164591E-2</v>
      </c>
      <c r="K93" s="4">
        <f>SUM(K94:K96)</f>
        <v>173369.19</v>
      </c>
      <c r="L93" s="5">
        <f>+K93/$B93</f>
        <v>0.16394200191490677</v>
      </c>
      <c r="M93" s="4">
        <f>SUM(M94:M96)</f>
        <v>0</v>
      </c>
      <c r="N93" s="5">
        <f>+M93/$B93</f>
        <v>0</v>
      </c>
      <c r="O93" s="4">
        <f>SUM(O94:O96)</f>
        <v>78023.42</v>
      </c>
      <c r="P93" s="5">
        <f>+O93/$B93</f>
        <v>7.3780789257004514E-2</v>
      </c>
      <c r="Q93" s="4">
        <f>SUM(Q94:Q96)</f>
        <v>0</v>
      </c>
      <c r="R93" s="5">
        <f>+Q93/$B93</f>
        <v>0</v>
      </c>
      <c r="S93" s="4">
        <f>SUM(S94:S96)</f>
        <v>126342.67</v>
      </c>
      <c r="T93" s="5">
        <f>+S93/$B93</f>
        <v>0.11947261360034291</v>
      </c>
      <c r="U93" s="4">
        <f>SUM(U94:U96)</f>
        <v>192214.85</v>
      </c>
      <c r="V93" s="5">
        <f>+U93/$B93</f>
        <v>0.18176290324003658</v>
      </c>
      <c r="W93" s="4">
        <f>SUM(W94:W96)</f>
        <v>0</v>
      </c>
      <c r="X93" s="5">
        <f>+W93/$B93</f>
        <v>0</v>
      </c>
      <c r="Y93" s="4">
        <f>SUM(Y94:Y96)</f>
        <v>320101.17</v>
      </c>
      <c r="Z93" s="5">
        <f>+Y93/$B93</f>
        <v>0.30269522874914451</v>
      </c>
      <c r="AA93" s="4">
        <f>SUM(AA94:AA96)</f>
        <v>64000</v>
      </c>
      <c r="AB93" s="5">
        <f>+AA93/$B93</f>
        <v>6.0519912001400208E-2</v>
      </c>
      <c r="AC93" s="4">
        <f t="shared" si="16"/>
        <v>1057503.19</v>
      </c>
      <c r="AD93" s="5">
        <f>+AC93/$B93</f>
        <v>1</v>
      </c>
    </row>
    <row r="94" spans="1:32" s="165" customFormat="1">
      <c r="A94" s="14" t="s">
        <v>23</v>
      </c>
      <c r="B94" s="179">
        <v>1057503.19</v>
      </c>
      <c r="C94" s="30">
        <v>0</v>
      </c>
      <c r="D94" s="115">
        <f>+C94/B94</f>
        <v>0</v>
      </c>
      <c r="E94" s="180"/>
      <c r="F94" s="114">
        <f>+E94/$B94</f>
        <v>0</v>
      </c>
      <c r="G94" s="181"/>
      <c r="H94" s="114">
        <f>+G94/$B94</f>
        <v>0</v>
      </c>
      <c r="I94" s="179">
        <v>103451.89</v>
      </c>
      <c r="J94" s="114">
        <f>+I94/$B94</f>
        <v>9.7826551237164591E-2</v>
      </c>
      <c r="K94" s="179">
        <v>173369.19</v>
      </c>
      <c r="L94" s="114">
        <f>+K94/$B94</f>
        <v>0.16394200191490677</v>
      </c>
      <c r="M94" s="180"/>
      <c r="N94" s="114">
        <f>+M94/$B94</f>
        <v>0</v>
      </c>
      <c r="O94" s="179">
        <v>78023.42</v>
      </c>
      <c r="P94" s="114">
        <f>+O94/$B94</f>
        <v>7.3780789257004514E-2</v>
      </c>
      <c r="Q94" s="30">
        <v>0</v>
      </c>
      <c r="R94" s="114">
        <f>+Q94/$B94</f>
        <v>0</v>
      </c>
      <c r="S94" s="179">
        <v>126342.67</v>
      </c>
      <c r="T94" s="114">
        <f>+S94/$B94</f>
        <v>0.11947261360034291</v>
      </c>
      <c r="U94" s="179">
        <v>192214.85</v>
      </c>
      <c r="V94" s="114">
        <f>+U94/$B94</f>
        <v>0.18176290324003658</v>
      </c>
      <c r="W94" s="179"/>
      <c r="X94" s="114">
        <f>+W94/$B94</f>
        <v>0</v>
      </c>
      <c r="Y94" s="30">
        <v>320101.17</v>
      </c>
      <c r="Z94" s="114">
        <f>+Y94/$B94</f>
        <v>0.30269522874914451</v>
      </c>
      <c r="AA94" s="30">
        <v>64000</v>
      </c>
      <c r="AB94" s="114">
        <f>+AA94/$B94</f>
        <v>6.0519912001400208E-2</v>
      </c>
      <c r="AC94" s="30">
        <f t="shared" si="16"/>
        <v>1057503.19</v>
      </c>
      <c r="AD94" s="114">
        <f>+AC94/$B94</f>
        <v>1</v>
      </c>
      <c r="AF94" s="118"/>
    </row>
    <row r="95" spans="1:32" s="165" customFormat="1">
      <c r="A95" s="13" t="s">
        <v>24</v>
      </c>
      <c r="B95" s="28">
        <v>0</v>
      </c>
      <c r="C95" s="28">
        <v>0</v>
      </c>
      <c r="D95" s="34"/>
      <c r="E95" s="28">
        <v>0</v>
      </c>
      <c r="F95" s="38"/>
      <c r="G95" s="28">
        <v>0</v>
      </c>
      <c r="H95" s="38"/>
      <c r="I95" s="28">
        <v>0</v>
      </c>
      <c r="J95" s="38"/>
      <c r="K95" s="28">
        <v>0</v>
      </c>
      <c r="L95" s="38"/>
      <c r="M95" s="28">
        <v>0</v>
      </c>
      <c r="N95" s="38"/>
      <c r="O95" s="28">
        <v>0</v>
      </c>
      <c r="P95" s="38"/>
      <c r="Q95" s="28">
        <v>0</v>
      </c>
      <c r="R95" s="38"/>
      <c r="S95" s="28">
        <v>0</v>
      </c>
      <c r="T95" s="38"/>
      <c r="U95" s="28">
        <v>0</v>
      </c>
      <c r="V95" s="38"/>
      <c r="W95" s="28">
        <v>0</v>
      </c>
      <c r="X95" s="38"/>
      <c r="Y95" s="28">
        <v>0</v>
      </c>
      <c r="Z95" s="38"/>
      <c r="AA95" s="28"/>
      <c r="AB95" s="38"/>
      <c r="AC95" s="30">
        <f t="shared" si="16"/>
        <v>0</v>
      </c>
      <c r="AD95" s="38"/>
    </row>
    <row r="96" spans="1:32" s="165" customFormat="1">
      <c r="A96" s="13" t="s">
        <v>25</v>
      </c>
      <c r="B96" s="28">
        <v>0</v>
      </c>
      <c r="C96" s="28">
        <v>0</v>
      </c>
      <c r="D96" s="34"/>
      <c r="E96" s="28">
        <v>0</v>
      </c>
      <c r="F96" s="38"/>
      <c r="G96" s="28">
        <v>0</v>
      </c>
      <c r="H96" s="38"/>
      <c r="I96" s="28">
        <v>0</v>
      </c>
      <c r="J96" s="38"/>
      <c r="K96" s="28">
        <v>0</v>
      </c>
      <c r="L96" s="38"/>
      <c r="M96" s="28">
        <v>0</v>
      </c>
      <c r="N96" s="38"/>
      <c r="O96" s="28">
        <v>0</v>
      </c>
      <c r="P96" s="38"/>
      <c r="Q96" s="28">
        <v>0</v>
      </c>
      <c r="R96" s="38"/>
      <c r="S96" s="28">
        <v>0</v>
      </c>
      <c r="T96" s="38"/>
      <c r="U96" s="28">
        <v>0</v>
      </c>
      <c r="V96" s="38"/>
      <c r="W96" s="28">
        <v>0</v>
      </c>
      <c r="X96" s="38"/>
      <c r="Y96" s="28">
        <v>0</v>
      </c>
      <c r="Z96" s="38"/>
      <c r="AA96" s="28"/>
      <c r="AB96" s="38"/>
      <c r="AC96" s="30">
        <f t="shared" si="16"/>
        <v>0</v>
      </c>
      <c r="AD96" s="38"/>
    </row>
    <row r="97" spans="1:33" s="165" customFormat="1">
      <c r="A97" s="15" t="s">
        <v>17</v>
      </c>
      <c r="B97" s="16">
        <f>+B89+B93</f>
        <v>125165856.83</v>
      </c>
      <c r="C97" s="16">
        <f>+C89+C93</f>
        <v>14928064.619999999</v>
      </c>
      <c r="D97" s="17">
        <f t="shared" ref="D97:Z97" si="17">+D89+D93</f>
        <v>0.12028251267679937</v>
      </c>
      <c r="E97" s="16">
        <f t="shared" si="17"/>
        <v>10608025.77</v>
      </c>
      <c r="F97" s="17">
        <f t="shared" si="17"/>
        <v>8.5473906138265318E-2</v>
      </c>
      <c r="G97" s="16">
        <f t="shared" si="17"/>
        <v>10005576.18</v>
      </c>
      <c r="H97" s="17">
        <f t="shared" si="17"/>
        <v>8.0619683418112903E-2</v>
      </c>
      <c r="I97" s="16">
        <f t="shared" si="17"/>
        <v>9480480.9500000011</v>
      </c>
      <c r="J97" s="17">
        <f t="shared" si="17"/>
        <v>0.17338173173049276</v>
      </c>
      <c r="K97" s="16">
        <f t="shared" si="17"/>
        <v>7739138.0800000001</v>
      </c>
      <c r="L97" s="17">
        <f t="shared" si="17"/>
        <v>0.22490299823869941</v>
      </c>
      <c r="M97" s="16">
        <f t="shared" si="17"/>
        <v>7759979.3800000008</v>
      </c>
      <c r="N97" s="17">
        <f t="shared" si="17"/>
        <v>6.2525842559392128E-2</v>
      </c>
      <c r="O97" s="16">
        <f t="shared" si="17"/>
        <v>8619433.5500000007</v>
      </c>
      <c r="P97" s="17">
        <f t="shared" si="17"/>
        <v>0.14260299082109901</v>
      </c>
      <c r="Q97" s="16">
        <f t="shared" si="17"/>
        <v>8120203.2699999996</v>
      </c>
      <c r="R97" s="17">
        <f t="shared" si="17"/>
        <v>6.5428337673015965E-2</v>
      </c>
      <c r="S97" s="16">
        <f t="shared" si="17"/>
        <v>8379933.7599999998</v>
      </c>
      <c r="T97" s="17">
        <f t="shared" si="17"/>
        <v>0.18597572034480203</v>
      </c>
      <c r="U97" s="16">
        <f t="shared" si="17"/>
        <v>8407078.7200000007</v>
      </c>
      <c r="V97" s="17">
        <f t="shared" si="17"/>
        <v>0.24795396636402889</v>
      </c>
      <c r="W97" s="16">
        <f t="shared" si="17"/>
        <v>8449199.0999999996</v>
      </c>
      <c r="X97" s="17">
        <f t="shared" si="17"/>
        <v>6.8079213463007632E-2</v>
      </c>
      <c r="Y97" s="16">
        <f t="shared" si="17"/>
        <v>16729583.9</v>
      </c>
      <c r="Z97" s="17">
        <f t="shared" si="17"/>
        <v>0.43491423132812357</v>
      </c>
      <c r="AA97" s="24">
        <f>+AA89+AA93</f>
        <v>5939159.5499999998</v>
      </c>
      <c r="AB97" s="17">
        <f>+AB89+AB93</f>
        <v>0.10785886524416115</v>
      </c>
      <c r="AC97" s="16">
        <f t="shared" si="16"/>
        <v>125165856.83</v>
      </c>
      <c r="AD97" s="17">
        <f>+AC97/B97</f>
        <v>1</v>
      </c>
    </row>
    <row r="98" spans="1:33" s="165" customFormat="1">
      <c r="B98" s="36"/>
    </row>
    <row r="99" spans="1:33" s="165" customFormat="1">
      <c r="B99" s="36"/>
    </row>
    <row r="100" spans="1:33" s="165" customFormat="1" ht="18">
      <c r="A100" s="262" t="s">
        <v>0</v>
      </c>
      <c r="B100" s="262"/>
      <c r="C100" s="262"/>
      <c r="D100" s="262"/>
      <c r="E100" s="262"/>
      <c r="F100" s="262"/>
      <c r="G100" s="262"/>
      <c r="H100" s="262"/>
      <c r="I100" s="262"/>
      <c r="J100" s="262"/>
      <c r="K100" s="262"/>
      <c r="L100" s="262"/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  <c r="X100" s="262"/>
      <c r="Y100" s="262"/>
      <c r="Z100" s="262"/>
      <c r="AA100" s="262"/>
      <c r="AB100" s="262"/>
      <c r="AC100" s="262"/>
      <c r="AD100" s="262"/>
      <c r="AF100" s="113"/>
    </row>
    <row r="101" spans="1:33" s="165" customFormat="1" ht="18">
      <c r="A101" s="262" t="s">
        <v>91</v>
      </c>
      <c r="B101" s="262"/>
      <c r="C101" s="262"/>
      <c r="D101" s="262"/>
      <c r="E101" s="262"/>
      <c r="F101" s="262"/>
      <c r="G101" s="262"/>
      <c r="H101" s="262"/>
      <c r="I101" s="262"/>
      <c r="J101" s="262"/>
      <c r="K101" s="262"/>
      <c r="L101" s="262"/>
      <c r="M101" s="262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2"/>
      <c r="Y101" s="262"/>
      <c r="Z101" s="262"/>
      <c r="AA101" s="262"/>
      <c r="AB101" s="262"/>
      <c r="AC101" s="262"/>
      <c r="AD101" s="262"/>
      <c r="AF101" s="113"/>
    </row>
    <row r="102" spans="1:33" s="165" customFormat="1" ht="18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F102" s="113"/>
    </row>
    <row r="103" spans="1:33" s="165" customFormat="1">
      <c r="A103" s="278" t="s">
        <v>26</v>
      </c>
      <c r="B103" s="278" t="s">
        <v>51</v>
      </c>
      <c r="C103" s="275" t="s">
        <v>2</v>
      </c>
      <c r="D103" s="275"/>
      <c r="E103" s="275" t="s">
        <v>3</v>
      </c>
      <c r="F103" s="275"/>
      <c r="G103" s="275" t="s">
        <v>4</v>
      </c>
      <c r="H103" s="275"/>
      <c r="I103" s="275" t="s">
        <v>5</v>
      </c>
      <c r="J103" s="275"/>
      <c r="K103" s="275" t="s">
        <v>6</v>
      </c>
      <c r="L103" s="275"/>
      <c r="M103" s="275" t="s">
        <v>7</v>
      </c>
      <c r="N103" s="275"/>
      <c r="O103" s="275" t="s">
        <v>8</v>
      </c>
      <c r="P103" s="275"/>
      <c r="Q103" s="275" t="s">
        <v>9</v>
      </c>
      <c r="R103" s="275"/>
      <c r="S103" s="275" t="s">
        <v>10</v>
      </c>
      <c r="T103" s="275"/>
      <c r="U103" s="275" t="s">
        <v>11</v>
      </c>
      <c r="V103" s="275"/>
      <c r="W103" s="275" t="s">
        <v>12</v>
      </c>
      <c r="X103" s="275"/>
      <c r="Y103" s="275" t="s">
        <v>13</v>
      </c>
      <c r="Z103" s="275"/>
      <c r="AA103" s="275" t="s">
        <v>52</v>
      </c>
      <c r="AB103" s="275"/>
      <c r="AC103" s="275" t="s">
        <v>14</v>
      </c>
      <c r="AD103" s="275"/>
    </row>
    <row r="104" spans="1:33" s="165" customFormat="1">
      <c r="A104" s="278"/>
      <c r="B104" s="278"/>
      <c r="C104" s="185" t="s">
        <v>1</v>
      </c>
      <c r="D104" s="185" t="s">
        <v>15</v>
      </c>
      <c r="E104" s="185" t="s">
        <v>1</v>
      </c>
      <c r="F104" s="185"/>
      <c r="G104" s="185" t="s">
        <v>1</v>
      </c>
      <c r="H104" s="185"/>
      <c r="I104" s="185" t="s">
        <v>1</v>
      </c>
      <c r="J104" s="185" t="s">
        <v>15</v>
      </c>
      <c r="K104" s="185" t="s">
        <v>1</v>
      </c>
      <c r="L104" s="185" t="s">
        <v>15</v>
      </c>
      <c r="M104" s="185" t="s">
        <v>1</v>
      </c>
      <c r="N104" s="185" t="s">
        <v>15</v>
      </c>
      <c r="O104" s="185" t="s">
        <v>1</v>
      </c>
      <c r="P104" s="185" t="s">
        <v>15</v>
      </c>
      <c r="Q104" s="185" t="s">
        <v>1</v>
      </c>
      <c r="R104" s="185" t="s">
        <v>15</v>
      </c>
      <c r="S104" s="185" t="s">
        <v>1</v>
      </c>
      <c r="T104" s="185" t="s">
        <v>15</v>
      </c>
      <c r="U104" s="185" t="s">
        <v>1</v>
      </c>
      <c r="V104" s="185" t="s">
        <v>15</v>
      </c>
      <c r="W104" s="185" t="s">
        <v>1</v>
      </c>
      <c r="X104" s="185" t="s">
        <v>15</v>
      </c>
      <c r="Y104" s="185" t="s">
        <v>1</v>
      </c>
      <c r="Z104" s="185" t="s">
        <v>15</v>
      </c>
      <c r="AA104" s="185"/>
      <c r="AB104" s="185"/>
      <c r="AC104" s="185" t="s">
        <v>1</v>
      </c>
      <c r="AD104" s="185" t="s">
        <v>15</v>
      </c>
    </row>
    <row r="105" spans="1:33" s="165" customFormat="1">
      <c r="A105" s="12" t="s">
        <v>18</v>
      </c>
      <c r="B105" s="4">
        <f>SUM(B106:B108)</f>
        <v>124108353.64</v>
      </c>
      <c r="C105" s="4">
        <f>SUM(C106:C108)</f>
        <v>13011973.459999999</v>
      </c>
      <c r="D105" s="5">
        <f>+C105/$B105</f>
        <v>0.10484365538957768</v>
      </c>
      <c r="E105" s="4">
        <f>SUM(E106:E108)</f>
        <v>9830452.0300000012</v>
      </c>
      <c r="F105" s="5">
        <f>+E105/$B105</f>
        <v>7.9208624896556973E-2</v>
      </c>
      <c r="G105" s="4">
        <f>SUM(G106:G108)</f>
        <v>11438298.65</v>
      </c>
      <c r="H105" s="5">
        <f>+G105/$B105</f>
        <v>9.2163809401412028E-2</v>
      </c>
      <c r="I105" s="4">
        <f>SUM(I106:I108)</f>
        <v>8906345.1899999995</v>
      </c>
      <c r="J105" s="5">
        <f>+I105/$B105</f>
        <v>7.1762656813856032E-2</v>
      </c>
      <c r="K105" s="4">
        <f>SUM(K106:K108)</f>
        <v>6069006.3700000001</v>
      </c>
      <c r="L105" s="5">
        <f>+K105/$B105</f>
        <v>4.8900869216300401E-2</v>
      </c>
      <c r="M105" s="4">
        <f>SUM(M106:M108)</f>
        <v>8844065.8999999985</v>
      </c>
      <c r="N105" s="5">
        <f>+M105/$B105</f>
        <v>7.1260842969957536E-2</v>
      </c>
      <c r="O105" s="4">
        <f>SUM(O106:O108)</f>
        <v>9853360.2799999993</v>
      </c>
      <c r="P105" s="5">
        <f>+O105/$B105</f>
        <v>7.9393207556209752E-2</v>
      </c>
      <c r="Q105" s="4">
        <f>SUM(Q106:Q108)</f>
        <v>8158152.5399999991</v>
      </c>
      <c r="R105" s="5">
        <f>+Q105/$B105</f>
        <v>6.5734112980535372E-2</v>
      </c>
      <c r="S105" s="4">
        <f>SUM(S106:S108)</f>
        <v>9203179.25</v>
      </c>
      <c r="T105" s="5">
        <f>+S105/$B105</f>
        <v>7.4154389934907847E-2</v>
      </c>
      <c r="U105" s="4">
        <f>SUM(U106:U108)</f>
        <v>9572938.4199999999</v>
      </c>
      <c r="V105" s="5">
        <f>+U105/$B105</f>
        <v>7.7133715332072958E-2</v>
      </c>
      <c r="W105" s="4">
        <f>SUM(W106:W108)</f>
        <v>9459306.6699999999</v>
      </c>
      <c r="X105" s="5">
        <f>+W105/$B105</f>
        <v>7.6218130307638493E-2</v>
      </c>
      <c r="Y105" s="4">
        <f>SUM(Y106:Y108)</f>
        <v>15110598.48</v>
      </c>
      <c r="Z105" s="5">
        <f>+Y105/$B105</f>
        <v>0.12175327475402002</v>
      </c>
      <c r="AA105" s="4">
        <f>SUM(AA106:AA108)</f>
        <v>9960139.0800000131</v>
      </c>
      <c r="AB105" s="5">
        <f>+AA105/$B105</f>
        <v>8.0253575104954664E-2</v>
      </c>
      <c r="AC105" s="4">
        <f t="shared" ref="AC105:AC113" si="18">+C105+E105+G105+I105+K105+M105+O105+Q105+S105+U105+W105+Y105+AA105</f>
        <v>129417816.32000001</v>
      </c>
      <c r="AD105" s="5">
        <f>+AC105/$B105</f>
        <v>1.0427808646579997</v>
      </c>
      <c r="AG105" s="118"/>
    </row>
    <row r="106" spans="1:33" s="165" customFormat="1">
      <c r="A106" s="13" t="s">
        <v>19</v>
      </c>
      <c r="B106" s="179">
        <v>68928778.840000004</v>
      </c>
      <c r="C106" s="179">
        <v>3341365.19</v>
      </c>
      <c r="D106" s="114">
        <f>+C106/$B106</f>
        <v>4.8475618547604023E-2</v>
      </c>
      <c r="E106" s="179">
        <v>4833605.13</v>
      </c>
      <c r="F106" s="114">
        <f>+E106/$B106</f>
        <v>7.0124630253786166E-2</v>
      </c>
      <c r="G106" s="179">
        <v>5833475.4100000001</v>
      </c>
      <c r="H106" s="114">
        <f>+G106/$B106</f>
        <v>8.4630476677105743E-2</v>
      </c>
      <c r="I106" s="179">
        <v>5311672.26</v>
      </c>
      <c r="J106" s="114">
        <f>+I106/$B106</f>
        <v>7.706029831646441E-2</v>
      </c>
      <c r="K106" s="179">
        <v>2780781.2</v>
      </c>
      <c r="L106" s="114">
        <f>+K106/$B106</f>
        <v>4.0342818294443472E-2</v>
      </c>
      <c r="M106" s="179">
        <v>5815966.2699999996</v>
      </c>
      <c r="N106" s="114">
        <f>+M106/$B106</f>
        <v>8.4376458830066212E-2</v>
      </c>
      <c r="O106" s="179">
        <v>5858013.6799999997</v>
      </c>
      <c r="P106" s="114">
        <f>+O106/$B106</f>
        <v>8.4986471232833455E-2</v>
      </c>
      <c r="Q106" s="179">
        <v>4872241.8099999996</v>
      </c>
      <c r="R106" s="114">
        <f>+Q106/$B106</f>
        <v>7.068516071218417E-2</v>
      </c>
      <c r="S106" s="179">
        <v>5477033.0499999998</v>
      </c>
      <c r="T106" s="114">
        <f>+S106/$B106</f>
        <v>7.9459307740145646E-2</v>
      </c>
      <c r="U106" s="179">
        <v>6204240.5</v>
      </c>
      <c r="V106" s="114">
        <f>+U106/$B106</f>
        <v>9.0009435890363143E-2</v>
      </c>
      <c r="W106" s="179">
        <v>5748959.3700000001</v>
      </c>
      <c r="X106" s="114">
        <f>+W106/$B106</f>
        <v>8.3404340926229004E-2</v>
      </c>
      <c r="Y106" s="179">
        <v>9821258.9299999997</v>
      </c>
      <c r="Z106" s="114">
        <f>+Y106/$B106</f>
        <v>0.14248415676705176</v>
      </c>
      <c r="AA106" s="180">
        <v>3947308.3900000006</v>
      </c>
      <c r="AB106" s="114">
        <f>+AA106/$B106</f>
        <v>5.7266477898333827E-2</v>
      </c>
      <c r="AC106" s="30">
        <f t="shared" si="18"/>
        <v>69845921.189999998</v>
      </c>
      <c r="AD106" s="114">
        <f>+AC106/$B106</f>
        <v>1.0133056520866111</v>
      </c>
      <c r="AG106" s="118"/>
    </row>
    <row r="107" spans="1:33" s="165" customFormat="1">
      <c r="A107" s="13" t="s">
        <v>20</v>
      </c>
      <c r="B107" s="28">
        <v>0</v>
      </c>
      <c r="C107" s="30">
        <v>0</v>
      </c>
      <c r="D107" s="114"/>
      <c r="E107" s="30">
        <v>0</v>
      </c>
      <c r="F107" s="114"/>
      <c r="G107" s="30">
        <v>0</v>
      </c>
      <c r="H107" s="114"/>
      <c r="I107" s="30">
        <v>0</v>
      </c>
      <c r="J107" s="114"/>
      <c r="K107" s="30">
        <v>0</v>
      </c>
      <c r="L107" s="114"/>
      <c r="M107" s="30">
        <v>0</v>
      </c>
      <c r="N107" s="114"/>
      <c r="O107" s="30">
        <v>0</v>
      </c>
      <c r="P107" s="114"/>
      <c r="Q107" s="30">
        <v>0</v>
      </c>
      <c r="R107" s="114"/>
      <c r="S107" s="30">
        <v>0</v>
      </c>
      <c r="T107" s="114"/>
      <c r="U107" s="30">
        <v>0</v>
      </c>
      <c r="V107" s="114"/>
      <c r="W107" s="30">
        <v>0</v>
      </c>
      <c r="X107" s="114"/>
      <c r="Y107" s="30"/>
      <c r="Z107" s="114"/>
      <c r="AA107" s="30">
        <v>0</v>
      </c>
      <c r="AB107" s="114"/>
      <c r="AC107" s="30">
        <f t="shared" si="18"/>
        <v>0</v>
      </c>
      <c r="AD107" s="114"/>
    </row>
    <row r="108" spans="1:33" s="165" customFormat="1">
      <c r="A108" s="13" t="s">
        <v>21</v>
      </c>
      <c r="B108" s="179">
        <v>55179574.799999997</v>
      </c>
      <c r="C108" s="179">
        <v>9670608.2699999996</v>
      </c>
      <c r="D108" s="114">
        <f>+C108/$B108</f>
        <v>0.17525702771453758</v>
      </c>
      <c r="E108" s="179">
        <v>4996846.9000000004</v>
      </c>
      <c r="F108" s="114">
        <f>+E108/$B108</f>
        <v>9.0556096492428947E-2</v>
      </c>
      <c r="G108" s="179">
        <v>5604823.2400000002</v>
      </c>
      <c r="H108" s="114">
        <f>+G108/$B108</f>
        <v>0.10157423757458893</v>
      </c>
      <c r="I108" s="179">
        <v>3594672.93</v>
      </c>
      <c r="J108" s="114">
        <f>+I108/$B108</f>
        <v>6.5144991476085101E-2</v>
      </c>
      <c r="K108" s="179">
        <v>3288225.17</v>
      </c>
      <c r="L108" s="114">
        <f>+K108/$B108</f>
        <v>5.95913466516962E-2</v>
      </c>
      <c r="M108" s="179">
        <v>3028099.63</v>
      </c>
      <c r="N108" s="114">
        <f>+M108/$B108</f>
        <v>5.4877183105803855E-2</v>
      </c>
      <c r="O108" s="179">
        <v>3995346.6</v>
      </c>
      <c r="P108" s="114">
        <f>+O108/$B108</f>
        <v>7.2406259281287549E-2</v>
      </c>
      <c r="Q108" s="179">
        <v>3285910.73</v>
      </c>
      <c r="R108" s="114">
        <f>+Q108/$B108</f>
        <v>5.9549402870715855E-2</v>
      </c>
      <c r="S108" s="179">
        <v>3726146.2</v>
      </c>
      <c r="T108" s="114">
        <f>+S108/$B108</f>
        <v>6.7527635243756906E-2</v>
      </c>
      <c r="U108" s="179">
        <v>3368697.92</v>
      </c>
      <c r="V108" s="114">
        <f>+U108/$B108</f>
        <v>6.1049725957656349E-2</v>
      </c>
      <c r="W108" s="179">
        <v>3710347.3</v>
      </c>
      <c r="X108" s="114">
        <f>+W108/$B108</f>
        <v>6.7241317343387716E-2</v>
      </c>
      <c r="Y108" s="179">
        <v>5289339.55</v>
      </c>
      <c r="Z108" s="114">
        <f>+Y108/$B108</f>
        <v>9.5856837773240694E-2</v>
      </c>
      <c r="AA108" s="180">
        <v>6012830.6900000125</v>
      </c>
      <c r="AB108" s="114">
        <f>+AA108/$B108</f>
        <v>0.10896841289179367</v>
      </c>
      <c r="AC108" s="30">
        <f t="shared" si="18"/>
        <v>59571895.130000003</v>
      </c>
      <c r="AD108" s="114">
        <f>+AC108/$B108</f>
        <v>1.0796004743769791</v>
      </c>
      <c r="AG108" s="118"/>
    </row>
    <row r="109" spans="1:33" s="165" customFormat="1">
      <c r="A109" s="12" t="s">
        <v>22</v>
      </c>
      <c r="B109" s="4">
        <f>SUM(B110:B112)</f>
        <v>1057503.19</v>
      </c>
      <c r="C109" s="4">
        <f>SUM(C110:C112)</f>
        <v>0</v>
      </c>
      <c r="D109" s="20">
        <f>+C109/B109</f>
        <v>0</v>
      </c>
      <c r="E109" s="4">
        <f>SUM(E110:E112)</f>
        <v>2200</v>
      </c>
      <c r="F109" s="5">
        <f>+E109/$B109</f>
        <v>2.0803719750481322E-3</v>
      </c>
      <c r="G109" s="4">
        <f>SUM(G110:G112)</f>
        <v>0</v>
      </c>
      <c r="H109" s="5">
        <f>+G109/$B109</f>
        <v>0</v>
      </c>
      <c r="I109" s="4">
        <f>SUM(I110:I112)</f>
        <v>0</v>
      </c>
      <c r="J109" s="5">
        <f>+I109/$B109</f>
        <v>0</v>
      </c>
      <c r="K109" s="4">
        <f>SUM(K110:K112)</f>
        <v>1580.4</v>
      </c>
      <c r="L109" s="5">
        <f>+K109/$B109</f>
        <v>1.4944635769845763E-3</v>
      </c>
      <c r="M109" s="4">
        <f>SUM(M110:M112)</f>
        <v>7272.72</v>
      </c>
      <c r="N109" s="5">
        <f>+M109/$B109</f>
        <v>6.8772558501691144E-3</v>
      </c>
      <c r="O109" s="4">
        <f>SUM(O110:O112)</f>
        <v>0</v>
      </c>
      <c r="P109" s="5">
        <f>+O109/$B109</f>
        <v>0</v>
      </c>
      <c r="Q109" s="4">
        <f>SUM(Q110:Q112)</f>
        <v>0</v>
      </c>
      <c r="R109" s="5">
        <f>+Q109/$B109</f>
        <v>0</v>
      </c>
      <c r="S109" s="4">
        <f>SUM(S110:S112)</f>
        <v>0</v>
      </c>
      <c r="T109" s="5">
        <f>+S109/$B109</f>
        <v>0</v>
      </c>
      <c r="U109" s="4">
        <f>SUM(U110:U112)</f>
        <v>0</v>
      </c>
      <c r="V109" s="5">
        <f>+U109/$B109</f>
        <v>0</v>
      </c>
      <c r="W109" s="4">
        <f>SUM(W110:W112)</f>
        <v>97970</v>
      </c>
      <c r="X109" s="5">
        <f>+W109/$B109</f>
        <v>9.2642746543393412E-2</v>
      </c>
      <c r="Y109" s="4">
        <f>SUM(Y110:Y112)</f>
        <v>0</v>
      </c>
      <c r="Z109" s="5">
        <f>+Y109/$B109</f>
        <v>0</v>
      </c>
      <c r="AA109" s="4">
        <f>SUM(AA110:AA112)</f>
        <v>411158.53</v>
      </c>
      <c r="AB109" s="5">
        <f>+AA109/$B109</f>
        <v>0.38880121959726671</v>
      </c>
      <c r="AC109" s="4">
        <f t="shared" si="18"/>
        <v>520181.65</v>
      </c>
      <c r="AD109" s="5">
        <f>+AC109/$B109</f>
        <v>0.49189605754286192</v>
      </c>
    </row>
    <row r="110" spans="1:33" s="165" customFormat="1">
      <c r="A110" s="14" t="s">
        <v>23</v>
      </c>
      <c r="B110" s="179">
        <v>1057503.19</v>
      </c>
      <c r="C110" s="30">
        <v>0</v>
      </c>
      <c r="D110" s="114">
        <f>+C110/$B110</f>
        <v>0</v>
      </c>
      <c r="E110" s="179">
        <v>2200</v>
      </c>
      <c r="F110" s="114">
        <f>+E110/$B110</f>
        <v>2.0803719750481322E-3</v>
      </c>
      <c r="G110" s="179"/>
      <c r="H110" s="114">
        <f>+G110/$B110</f>
        <v>0</v>
      </c>
      <c r="I110" s="179"/>
      <c r="J110" s="114">
        <f>+I110/$B110</f>
        <v>0</v>
      </c>
      <c r="K110" s="179">
        <v>1580.4</v>
      </c>
      <c r="L110" s="114">
        <f>+K110/$B110</f>
        <v>1.4944635769845763E-3</v>
      </c>
      <c r="M110" s="180">
        <v>7272.72</v>
      </c>
      <c r="N110" s="114">
        <f>+M110/$B110</f>
        <v>6.8772558501691144E-3</v>
      </c>
      <c r="O110" s="179"/>
      <c r="P110" s="114">
        <f>+O110/$B110</f>
        <v>0</v>
      </c>
      <c r="Q110" s="30">
        <v>0</v>
      </c>
      <c r="R110" s="114">
        <f>+Q110/$B110</f>
        <v>0</v>
      </c>
      <c r="S110" s="179"/>
      <c r="T110" s="114">
        <f>+S110/$B110</f>
        <v>0</v>
      </c>
      <c r="U110" s="179"/>
      <c r="V110" s="114">
        <f>+U110/$B110</f>
        <v>0</v>
      </c>
      <c r="W110" s="179">
        <v>97970</v>
      </c>
      <c r="X110" s="114">
        <f>+W110/$B110</f>
        <v>9.2642746543393412E-2</v>
      </c>
      <c r="Y110" s="30"/>
      <c r="Z110" s="114">
        <f>+Y110/$B110</f>
        <v>0</v>
      </c>
      <c r="AA110" s="30">
        <v>411158.53</v>
      </c>
      <c r="AB110" s="114">
        <f>+AA110/$B110</f>
        <v>0.38880121959726671</v>
      </c>
      <c r="AC110" s="30">
        <f t="shared" si="18"/>
        <v>520181.65</v>
      </c>
      <c r="AD110" s="114">
        <f>+AC110/$B110</f>
        <v>0.49189605754286192</v>
      </c>
      <c r="AG110" s="118"/>
    </row>
    <row r="111" spans="1:33" s="165" customFormat="1">
      <c r="A111" s="13" t="s">
        <v>24</v>
      </c>
      <c r="B111" s="28">
        <v>0</v>
      </c>
      <c r="C111" s="28">
        <v>0</v>
      </c>
      <c r="D111" s="34"/>
      <c r="E111" s="28">
        <v>0</v>
      </c>
      <c r="F111" s="38"/>
      <c r="G111" s="28">
        <v>0</v>
      </c>
      <c r="H111" s="38"/>
      <c r="I111" s="28">
        <v>0</v>
      </c>
      <c r="J111" s="38"/>
      <c r="K111" s="28">
        <v>0</v>
      </c>
      <c r="L111" s="38"/>
      <c r="M111" s="28">
        <v>0</v>
      </c>
      <c r="N111" s="38"/>
      <c r="O111" s="28">
        <v>0</v>
      </c>
      <c r="P111" s="38"/>
      <c r="Q111" s="28">
        <v>0</v>
      </c>
      <c r="R111" s="38"/>
      <c r="S111" s="28">
        <v>0</v>
      </c>
      <c r="T111" s="38"/>
      <c r="U111" s="28">
        <v>0</v>
      </c>
      <c r="V111" s="38"/>
      <c r="W111" s="28">
        <v>0</v>
      </c>
      <c r="X111" s="38"/>
      <c r="Y111" s="28">
        <v>0</v>
      </c>
      <c r="Z111" s="38"/>
      <c r="AA111" s="28"/>
      <c r="AB111" s="38"/>
      <c r="AC111" s="30">
        <f t="shared" si="18"/>
        <v>0</v>
      </c>
      <c r="AD111" s="38"/>
    </row>
    <row r="112" spans="1:33" s="165" customFormat="1">
      <c r="A112" s="13" t="s">
        <v>25</v>
      </c>
      <c r="B112" s="28">
        <v>0</v>
      </c>
      <c r="C112" s="28">
        <v>0</v>
      </c>
      <c r="D112" s="34"/>
      <c r="E112" s="28">
        <v>0</v>
      </c>
      <c r="F112" s="38"/>
      <c r="G112" s="28">
        <v>0</v>
      </c>
      <c r="H112" s="38"/>
      <c r="I112" s="28">
        <v>0</v>
      </c>
      <c r="J112" s="38"/>
      <c r="K112" s="28">
        <v>0</v>
      </c>
      <c r="L112" s="38"/>
      <c r="M112" s="28">
        <v>0</v>
      </c>
      <c r="N112" s="38"/>
      <c r="O112" s="28">
        <v>0</v>
      </c>
      <c r="P112" s="38"/>
      <c r="Q112" s="28">
        <v>0</v>
      </c>
      <c r="R112" s="38"/>
      <c r="S112" s="28">
        <v>0</v>
      </c>
      <c r="T112" s="38"/>
      <c r="U112" s="28">
        <v>0</v>
      </c>
      <c r="V112" s="38"/>
      <c r="W112" s="28">
        <v>0</v>
      </c>
      <c r="X112" s="38"/>
      <c r="Y112" s="28">
        <v>0</v>
      </c>
      <c r="Z112" s="38"/>
      <c r="AA112" s="28"/>
      <c r="AB112" s="38"/>
      <c r="AC112" s="30">
        <f t="shared" si="18"/>
        <v>0</v>
      </c>
      <c r="AD112" s="38"/>
    </row>
    <row r="113" spans="1:33" s="165" customFormat="1">
      <c r="A113" s="15" t="s">
        <v>17</v>
      </c>
      <c r="B113" s="16">
        <f>+B105+B109</f>
        <v>125165856.83</v>
      </c>
      <c r="C113" s="16">
        <f>+C105+C109</f>
        <v>13011973.459999999</v>
      </c>
      <c r="D113" s="17">
        <f t="shared" ref="D113:Z113" si="19">+D105+D109</f>
        <v>0.10484365538957768</v>
      </c>
      <c r="E113" s="16">
        <f t="shared" si="19"/>
        <v>9832652.0300000012</v>
      </c>
      <c r="F113" s="17">
        <f t="shared" si="19"/>
        <v>8.128899687160511E-2</v>
      </c>
      <c r="G113" s="16">
        <f t="shared" si="19"/>
        <v>11438298.65</v>
      </c>
      <c r="H113" s="17">
        <f t="shared" si="19"/>
        <v>9.2163809401412028E-2</v>
      </c>
      <c r="I113" s="16">
        <f t="shared" si="19"/>
        <v>8906345.1899999995</v>
      </c>
      <c r="J113" s="17">
        <f t="shared" si="19"/>
        <v>7.1762656813856032E-2</v>
      </c>
      <c r="K113" s="16">
        <f t="shared" si="19"/>
        <v>6070586.7700000005</v>
      </c>
      <c r="L113" s="17">
        <f t="shared" si="19"/>
        <v>5.039533279328498E-2</v>
      </c>
      <c r="M113" s="16">
        <f t="shared" si="19"/>
        <v>8851338.6199999992</v>
      </c>
      <c r="N113" s="17">
        <f t="shared" si="19"/>
        <v>7.813809882012665E-2</v>
      </c>
      <c r="O113" s="16">
        <f t="shared" si="19"/>
        <v>9853360.2799999993</v>
      </c>
      <c r="P113" s="17">
        <f t="shared" si="19"/>
        <v>7.9393207556209752E-2</v>
      </c>
      <c r="Q113" s="16">
        <f t="shared" si="19"/>
        <v>8158152.5399999991</v>
      </c>
      <c r="R113" s="17">
        <f t="shared" si="19"/>
        <v>6.5734112980535372E-2</v>
      </c>
      <c r="S113" s="16">
        <f t="shared" si="19"/>
        <v>9203179.25</v>
      </c>
      <c r="T113" s="17">
        <f t="shared" si="19"/>
        <v>7.4154389934907847E-2</v>
      </c>
      <c r="U113" s="16">
        <f t="shared" si="19"/>
        <v>9572938.4199999999</v>
      </c>
      <c r="V113" s="17">
        <f t="shared" si="19"/>
        <v>7.7133715332072958E-2</v>
      </c>
      <c r="W113" s="16">
        <f t="shared" si="19"/>
        <v>9557276.6699999999</v>
      </c>
      <c r="X113" s="17">
        <f t="shared" si="19"/>
        <v>0.1688608768510319</v>
      </c>
      <c r="Y113" s="16">
        <f t="shared" si="19"/>
        <v>15110598.48</v>
      </c>
      <c r="Z113" s="17">
        <f t="shared" si="19"/>
        <v>0.12175327475402002</v>
      </c>
      <c r="AA113" s="24">
        <f>+AA105+AA109</f>
        <v>10371297.610000012</v>
      </c>
      <c r="AB113" s="17">
        <f>+AB105+AB109</f>
        <v>0.46905479470222139</v>
      </c>
      <c r="AC113" s="16">
        <f t="shared" si="18"/>
        <v>129937997.97000001</v>
      </c>
      <c r="AD113" s="17">
        <f>+AC113/B113</f>
        <v>1.0381265407425089</v>
      </c>
    </row>
    <row r="114" spans="1:33" s="165" customFormat="1">
      <c r="B114" s="36"/>
    </row>
    <row r="115" spans="1:33" s="165" customFormat="1">
      <c r="B115" s="36"/>
    </row>
    <row r="116" spans="1:33" s="165" customFormat="1">
      <c r="B116" s="36"/>
      <c r="AG116" s="118"/>
    </row>
    <row r="117" spans="1:33" s="165" customFormat="1" hidden="1">
      <c r="B117" s="36"/>
    </row>
    <row r="118" spans="1:33" s="165" customFormat="1" hidden="1">
      <c r="B118" s="36"/>
    </row>
    <row r="119" spans="1:33" s="165" customFormat="1" hidden="1">
      <c r="B119" s="36"/>
    </row>
    <row r="120" spans="1:33" s="165" customFormat="1" hidden="1">
      <c r="B120" s="36"/>
    </row>
    <row r="121" spans="1:33" s="165" customFormat="1" hidden="1">
      <c r="B121" s="36"/>
    </row>
    <row r="122" spans="1:33" s="165" customFormat="1" hidden="1">
      <c r="B122" s="36"/>
    </row>
    <row r="123" spans="1:33" s="165" customFormat="1" hidden="1">
      <c r="B123" s="36"/>
    </row>
    <row r="124" spans="1:33" s="165" customFormat="1" hidden="1">
      <c r="B124" s="36"/>
    </row>
    <row r="125" spans="1:33" s="165" customFormat="1" hidden="1">
      <c r="B125" s="36"/>
    </row>
    <row r="126" spans="1:33" s="165" customFormat="1" hidden="1">
      <c r="B126" s="36"/>
    </row>
    <row r="127" spans="1:33" s="25" customFormat="1" hidden="1">
      <c r="B127" s="36"/>
    </row>
    <row r="129" spans="1:33" ht="18">
      <c r="A129" s="262" t="s">
        <v>0</v>
      </c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  <c r="M129" s="262"/>
      <c r="N129" s="262"/>
      <c r="O129" s="262"/>
      <c r="P129" s="262"/>
      <c r="Q129" s="262"/>
      <c r="R129" s="262"/>
      <c r="S129" s="262"/>
      <c r="T129" s="262"/>
      <c r="U129" s="262"/>
      <c r="V129" s="262"/>
      <c r="W129" s="262"/>
      <c r="X129" s="262"/>
      <c r="Y129" s="262"/>
      <c r="Z129" s="262"/>
      <c r="AA129" s="262"/>
      <c r="AB129" s="262"/>
      <c r="AC129" s="262"/>
      <c r="AD129" s="262"/>
    </row>
    <row r="130" spans="1:33" ht="18">
      <c r="A130" s="262" t="s">
        <v>92</v>
      </c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/>
      <c r="P130" s="262"/>
      <c r="Q130" s="262"/>
      <c r="R130" s="262"/>
      <c r="S130" s="262"/>
      <c r="T130" s="262"/>
      <c r="U130" s="262"/>
      <c r="V130" s="262"/>
      <c r="W130" s="262"/>
      <c r="X130" s="262"/>
      <c r="Y130" s="262"/>
      <c r="Z130" s="262"/>
      <c r="AA130" s="262"/>
      <c r="AB130" s="262"/>
      <c r="AC130" s="262"/>
      <c r="AD130" s="262"/>
      <c r="AG130" s="118"/>
    </row>
    <row r="131" spans="1:33">
      <c r="A131" s="21"/>
      <c r="B131" s="21"/>
      <c r="C131" s="9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3" ht="23.25" customHeight="1">
      <c r="A132" s="278" t="s">
        <v>26</v>
      </c>
      <c r="B132" s="278" t="s">
        <v>51</v>
      </c>
      <c r="C132" s="275" t="s">
        <v>2</v>
      </c>
      <c r="D132" s="275"/>
      <c r="E132" s="275" t="s">
        <v>3</v>
      </c>
      <c r="F132" s="275"/>
      <c r="G132" s="275" t="s">
        <v>4</v>
      </c>
      <c r="H132" s="275"/>
      <c r="I132" s="275" t="s">
        <v>5</v>
      </c>
      <c r="J132" s="275"/>
      <c r="K132" s="275" t="s">
        <v>6</v>
      </c>
      <c r="L132" s="275"/>
      <c r="M132" s="275" t="s">
        <v>7</v>
      </c>
      <c r="N132" s="275"/>
      <c r="O132" s="275" t="s">
        <v>8</v>
      </c>
      <c r="P132" s="275"/>
      <c r="Q132" s="275" t="s">
        <v>9</v>
      </c>
      <c r="R132" s="275"/>
      <c r="S132" s="275" t="s">
        <v>10</v>
      </c>
      <c r="T132" s="275"/>
      <c r="U132" s="275" t="s">
        <v>11</v>
      </c>
      <c r="V132" s="275"/>
      <c r="W132" s="275" t="s">
        <v>12</v>
      </c>
      <c r="X132" s="275"/>
      <c r="Y132" s="275" t="s">
        <v>13</v>
      </c>
      <c r="Z132" s="275"/>
      <c r="AA132" s="275" t="s">
        <v>67</v>
      </c>
      <c r="AB132" s="275"/>
      <c r="AC132" s="275" t="s">
        <v>14</v>
      </c>
      <c r="AD132" s="275"/>
    </row>
    <row r="133" spans="1:33">
      <c r="A133" s="278"/>
      <c r="B133" s="278"/>
      <c r="C133" s="43" t="s">
        <v>1</v>
      </c>
      <c r="D133" s="43" t="s">
        <v>15</v>
      </c>
      <c r="E133" s="43" t="s">
        <v>1</v>
      </c>
      <c r="F133" s="43"/>
      <c r="G133" s="43" t="s">
        <v>1</v>
      </c>
      <c r="H133" s="43"/>
      <c r="I133" s="43" t="s">
        <v>1</v>
      </c>
      <c r="J133" s="43" t="s">
        <v>15</v>
      </c>
      <c r="K133" s="43" t="s">
        <v>1</v>
      </c>
      <c r="L133" s="43" t="s">
        <v>15</v>
      </c>
      <c r="M133" s="43" t="s">
        <v>1</v>
      </c>
      <c r="N133" s="43" t="s">
        <v>15</v>
      </c>
      <c r="O133" s="43" t="s">
        <v>1</v>
      </c>
      <c r="P133" s="43" t="s">
        <v>15</v>
      </c>
      <c r="Q133" s="43" t="s">
        <v>1</v>
      </c>
      <c r="R133" s="43" t="s">
        <v>15</v>
      </c>
      <c r="S133" s="43" t="s">
        <v>1</v>
      </c>
      <c r="T133" s="43" t="s">
        <v>15</v>
      </c>
      <c r="U133" s="43" t="s">
        <v>1</v>
      </c>
      <c r="V133" s="43" t="s">
        <v>15</v>
      </c>
      <c r="W133" s="43" t="s">
        <v>1</v>
      </c>
      <c r="X133" s="43" t="s">
        <v>15</v>
      </c>
      <c r="Y133" s="43" t="s">
        <v>1</v>
      </c>
      <c r="Z133" s="43" t="s">
        <v>15</v>
      </c>
      <c r="AA133" s="48" t="s">
        <v>1</v>
      </c>
      <c r="AB133" s="48" t="s">
        <v>15</v>
      </c>
      <c r="AC133" s="43" t="s">
        <v>1</v>
      </c>
      <c r="AD133" s="43" t="s">
        <v>15</v>
      </c>
    </row>
    <row r="134" spans="1:33">
      <c r="A134" s="12" t="s">
        <v>18</v>
      </c>
      <c r="B134" s="4">
        <f>SUM(B135:B137)</f>
        <v>120679473.88333333</v>
      </c>
      <c r="C134" s="4">
        <f>SUM(C135:C137)</f>
        <v>14024735.880000001</v>
      </c>
      <c r="D134" s="5">
        <f>+C134/$B134</f>
        <v>0.11621475822440518</v>
      </c>
      <c r="E134" s="4">
        <f>SUM(E135:E137)</f>
        <v>10424033.41</v>
      </c>
      <c r="F134" s="5">
        <f>+E134/$B134</f>
        <v>8.6377849310790136E-2</v>
      </c>
      <c r="G134" s="4">
        <f>SUM(G135:G137)</f>
        <v>10589582.030000001</v>
      </c>
      <c r="H134" s="5">
        <f>+G134/$B134</f>
        <v>8.7749653600888766E-2</v>
      </c>
      <c r="I134" s="4">
        <f>SUM(I135:I137)</f>
        <v>9433290.6500000004</v>
      </c>
      <c r="J134" s="5">
        <f t="shared" ref="J134:J139" si="20">+I134/$B134</f>
        <v>7.8168145306298051E-2</v>
      </c>
      <c r="K134" s="4">
        <f>SUM(K135:K137)</f>
        <v>7761341.2766666654</v>
      </c>
      <c r="L134" s="5">
        <f>+K134/$B134</f>
        <v>6.431368174649095E-2</v>
      </c>
      <c r="M134" s="4">
        <f>SUM(M135:M137)</f>
        <v>8422583.1933333334</v>
      </c>
      <c r="N134" s="5">
        <f>+M134/$B134</f>
        <v>6.9793005573390646E-2</v>
      </c>
      <c r="O134" s="4">
        <f>SUM(O135:O137)</f>
        <v>9212022.4933333322</v>
      </c>
      <c r="P134" s="5">
        <f>+O134/$B134</f>
        <v>7.6334625905305487E-2</v>
      </c>
      <c r="Q134" s="4">
        <f>SUM(Q135:Q137)</f>
        <v>8723153.7433333341</v>
      </c>
      <c r="R134" s="5">
        <f>+Q134/$B134</f>
        <v>7.2283657382915242E-2</v>
      </c>
      <c r="S134" s="4">
        <f>SUM(S135:S137)</f>
        <v>8505380.8133333344</v>
      </c>
      <c r="T134" s="5">
        <f>+S134/$B134</f>
        <v>7.0479100874734482E-2</v>
      </c>
      <c r="U134" s="4">
        <f>SUM(U135:U137)</f>
        <v>9479574.4366666675</v>
      </c>
      <c r="V134" s="5">
        <f>+U134/$B134</f>
        <v>7.8551671892695102E-2</v>
      </c>
      <c r="W134" s="4">
        <f>SUM(W135:W137)</f>
        <v>8760771.8000000007</v>
      </c>
      <c r="X134" s="5">
        <f>+W134/$B134</f>
        <v>7.25953761488011E-2</v>
      </c>
      <c r="Y134" s="4">
        <f>SUM(Y135:Y137)</f>
        <v>15613187.876666667</v>
      </c>
      <c r="Z134" s="5">
        <f>+Y134/$B134</f>
        <v>0.12937732800990406</v>
      </c>
      <c r="AA134" s="4">
        <f>SUM(AA135:AA137)</f>
        <v>7104339.0433333386</v>
      </c>
      <c r="AB134" s="5">
        <f>+AA134/$B134</f>
        <v>5.8869489688042939E-2</v>
      </c>
      <c r="AC134" s="4">
        <f>+C134+E134+G134+I134+K134+M134+O134+Q134+S134+U134+W134+Y134+AA134</f>
        <v>128053996.64666668</v>
      </c>
      <c r="AD134" s="5">
        <f>+AC134/$B134</f>
        <v>1.0611083436646622</v>
      </c>
      <c r="AE134" s="1"/>
      <c r="AF134" s="1"/>
    </row>
    <row r="135" spans="1:33">
      <c r="A135" s="13" t="s">
        <v>19</v>
      </c>
      <c r="B135" s="6">
        <f>+(B38+B54+B90)/3</f>
        <v>64809828.313333333</v>
      </c>
      <c r="C135" s="28">
        <f>+(C73+C90+C106)/3</f>
        <v>3408805.4133333336</v>
      </c>
      <c r="D135" s="7">
        <f>+C135/$B135</f>
        <v>5.2597044337981062E-2</v>
      </c>
      <c r="E135" s="28">
        <f>+(E73+E90+E106)/3</f>
        <v>5162897.9133333331</v>
      </c>
      <c r="F135" s="7">
        <f>+E135/$B135</f>
        <v>7.9662268018555596E-2</v>
      </c>
      <c r="G135" s="28">
        <f>+(G73+G90+G106)/3</f>
        <v>5369517.4833333334</v>
      </c>
      <c r="H135" s="7">
        <f>+G135/$B135</f>
        <v>8.2850358087257298E-2</v>
      </c>
      <c r="I135" s="28">
        <f>+(I73+I90+I106)/3</f>
        <v>5184155.4033333333</v>
      </c>
      <c r="J135" s="7">
        <f t="shared" si="20"/>
        <v>7.9990265955800971E-2</v>
      </c>
      <c r="K135" s="28">
        <f>+(K73+K90+K106)/3</f>
        <v>4380148.9233333329</v>
      </c>
      <c r="L135" s="7">
        <f>+K135/$B135</f>
        <v>6.7584640128296777E-2</v>
      </c>
      <c r="M135" s="28">
        <f>+(M73+M90+M106)/3</f>
        <v>5244962.793333333</v>
      </c>
      <c r="N135" s="7">
        <f>+M135/$B135</f>
        <v>8.0928509299171933E-2</v>
      </c>
      <c r="O135" s="28">
        <f>+(O73+O90+O106)/3</f>
        <v>5660302.8533333326</v>
      </c>
      <c r="P135" s="7">
        <f>+O135/$B135</f>
        <v>8.7337106124825786E-2</v>
      </c>
      <c r="Q135" s="28">
        <f>+(Q73+Q90+Q106)/3</f>
        <v>5358522.28</v>
      </c>
      <c r="R135" s="7">
        <f>+Q135/$B135</f>
        <v>8.2680704755047019E-2</v>
      </c>
      <c r="S135" s="28">
        <f>+(S73+S90+S106)/3</f>
        <v>5216522.1900000004</v>
      </c>
      <c r="T135" s="7">
        <f>+S135/$B135</f>
        <v>8.0489677657837655E-2</v>
      </c>
      <c r="U135" s="28">
        <f>+(U73+U90+U106)/3</f>
        <v>6059655.1600000001</v>
      </c>
      <c r="V135" s="7">
        <f>+U135/$B135</f>
        <v>9.3499015777416386E-2</v>
      </c>
      <c r="W135" s="28">
        <f>+(W73+W90+W106)/3</f>
        <v>5528964.0300000003</v>
      </c>
      <c r="X135" s="7">
        <f>+W135/$B135</f>
        <v>8.5310579797702166E-2</v>
      </c>
      <c r="Y135" s="28">
        <f>+(Y73+Y90+Y106)/3</f>
        <v>9781098.5366666671</v>
      </c>
      <c r="Z135" s="38">
        <f>+Y135/$B135</f>
        <v>0.15091998839093362</v>
      </c>
      <c r="AA135" s="28">
        <f>+(AA73+AA90+AA106)/3</f>
        <v>2827730.9500000007</v>
      </c>
      <c r="AB135" s="7">
        <f>+AA135/$B135</f>
        <v>4.3631205691965262E-2</v>
      </c>
      <c r="AC135" s="28">
        <f>+(AC38+AC54+AC90)/3</f>
        <v>64809828.313333333</v>
      </c>
      <c r="AD135" s="7">
        <f>+AC135/$B135</f>
        <v>1</v>
      </c>
    </row>
    <row r="136" spans="1:33">
      <c r="A136" s="13" t="s">
        <v>20</v>
      </c>
      <c r="B136" s="6">
        <f>+(B23+B39+B55)/3</f>
        <v>0</v>
      </c>
      <c r="C136" s="28">
        <f>+(C23+C39+C55)/3</f>
        <v>0</v>
      </c>
      <c r="D136" s="7"/>
      <c r="E136" s="28">
        <f>+(E23+E39+E55)/3</f>
        <v>0</v>
      </c>
      <c r="F136" s="7"/>
      <c r="G136" s="28">
        <f>+(G23+G39+G55)/3</f>
        <v>0</v>
      </c>
      <c r="H136" s="7"/>
      <c r="I136" s="28">
        <f>+(I23+I39+I55)/3</f>
        <v>0</v>
      </c>
      <c r="J136" s="7"/>
      <c r="K136" s="28">
        <f>+(K23+K39+K55)/3</f>
        <v>0</v>
      </c>
      <c r="L136" s="7"/>
      <c r="M136" s="28">
        <f>+(M23+M39+M55)/3</f>
        <v>0</v>
      </c>
      <c r="N136" s="7"/>
      <c r="O136" s="28">
        <f>+(O23+O39+O55)/3</f>
        <v>0</v>
      </c>
      <c r="P136" s="7"/>
      <c r="Q136" s="28">
        <f>+(Q23+Q39+Q55)/3</f>
        <v>0</v>
      </c>
      <c r="R136" s="7"/>
      <c r="S136" s="28">
        <f>+(S23+S39+S55)/3</f>
        <v>0</v>
      </c>
      <c r="T136" s="7"/>
      <c r="U136" s="28">
        <f>+(U23+U39+U55)/3</f>
        <v>0</v>
      </c>
      <c r="V136" s="7"/>
      <c r="W136" s="28">
        <f>+(W23+W39+W55)/3</f>
        <v>0</v>
      </c>
      <c r="X136" s="7"/>
      <c r="Y136" s="28">
        <f>+(Y23+Y39+Y55)/3</f>
        <v>0</v>
      </c>
      <c r="Z136" s="38"/>
      <c r="AA136" s="28">
        <f>+B136-C136-E136-G136-I136-K136-M136-O136-Q136-S136-U136-W136-Y136</f>
        <v>0</v>
      </c>
      <c r="AB136" s="7"/>
      <c r="AC136" s="28">
        <f>+(AC23+AC39+AC55)/3</f>
        <v>0</v>
      </c>
      <c r="AD136" s="7"/>
    </row>
    <row r="137" spans="1:33">
      <c r="A137" s="13" t="s">
        <v>21</v>
      </c>
      <c r="B137" s="6">
        <f>+(B40+B56+B92)/3</f>
        <v>55869645.569999993</v>
      </c>
      <c r="C137" s="28">
        <f>+(C75+C92+C108)/3</f>
        <v>10615930.466666667</v>
      </c>
      <c r="D137" s="7">
        <f>+C137/$B137</f>
        <v>0.19001248993723782</v>
      </c>
      <c r="E137" s="28">
        <f>+(E75+E92+E108)/3</f>
        <v>5261135.4966666671</v>
      </c>
      <c r="F137" s="7">
        <f>+E137/$B137</f>
        <v>9.4168048552856917E-2</v>
      </c>
      <c r="G137" s="28">
        <f>+(G75+G92+G108)/3</f>
        <v>5220064.5466666669</v>
      </c>
      <c r="H137" s="7">
        <f>+G137/$B137</f>
        <v>9.3432927547864295E-2</v>
      </c>
      <c r="I137" s="28">
        <f>+(I75+I92+I108)/3</f>
        <v>4249135.2466666671</v>
      </c>
      <c r="J137" s="7">
        <f t="shared" si="20"/>
        <v>7.6054451452405511E-2</v>
      </c>
      <c r="K137" s="28">
        <f>+(K75+K92+K108)/3</f>
        <v>3381192.353333333</v>
      </c>
      <c r="L137" s="7">
        <f>+K137/$B137</f>
        <v>6.0519309167569028E-2</v>
      </c>
      <c r="M137" s="28">
        <f>+(M75+M92+M108)/3</f>
        <v>3177620.4</v>
      </c>
      <c r="N137" s="7">
        <f>+M137/$B137</f>
        <v>5.6875614075960215E-2</v>
      </c>
      <c r="O137" s="28">
        <f>+(O75+O92+O108)/3</f>
        <v>3551719.64</v>
      </c>
      <c r="P137" s="7">
        <f>+O137/$B137</f>
        <v>6.3571544150033896E-2</v>
      </c>
      <c r="Q137" s="28">
        <f>+(Q75+Q92+Q108)/3</f>
        <v>3364631.4633333334</v>
      </c>
      <c r="R137" s="7">
        <f>+Q137/$B137</f>
        <v>6.0222888994664048E-2</v>
      </c>
      <c r="S137" s="28">
        <f>+(S75+S92+S108)/3</f>
        <v>3288858.6233333335</v>
      </c>
      <c r="T137" s="7">
        <f>+S137/$B137</f>
        <v>5.886664556002362E-2</v>
      </c>
      <c r="U137" s="28">
        <f>+(U75+U92+U108)/3</f>
        <v>3419919.2766666668</v>
      </c>
      <c r="V137" s="7">
        <f>+U137/$B137</f>
        <v>6.1212474891787064E-2</v>
      </c>
      <c r="W137" s="28">
        <f>+(W75+W92+W108)/3</f>
        <v>3231807.7699999996</v>
      </c>
      <c r="X137" s="7">
        <f>+W137/$B137</f>
        <v>5.7845503350308795E-2</v>
      </c>
      <c r="Y137" s="28">
        <f>+(Y75+Y92+Y108)/3</f>
        <v>5832089.3399999999</v>
      </c>
      <c r="Z137" s="38">
        <f>+Y137/$B137</f>
        <v>0.10438744116772461</v>
      </c>
      <c r="AA137" s="28">
        <f>+(AA75+AA92+AA108)/3</f>
        <v>4276608.0933333375</v>
      </c>
      <c r="AB137" s="7">
        <f>+AA137/$B137</f>
        <v>7.6546182631051507E-2</v>
      </c>
      <c r="AC137" s="28">
        <f>+(AC40+AC56+AC92)/3</f>
        <v>55869645.57</v>
      </c>
      <c r="AD137" s="7">
        <f>+AC137/$B137</f>
        <v>1.0000000000000002</v>
      </c>
    </row>
    <row r="138" spans="1:33">
      <c r="A138" s="12" t="s">
        <v>22</v>
      </c>
      <c r="B138" s="4">
        <f>SUM(B139:B141)</f>
        <v>713914.58000000007</v>
      </c>
      <c r="C138" s="4">
        <f>SUM(C139:C141)</f>
        <v>0</v>
      </c>
      <c r="D138" s="20">
        <f>+C138/B138</f>
        <v>0</v>
      </c>
      <c r="E138" s="4">
        <f>SUM(E139:E141)</f>
        <v>733.33333333333337</v>
      </c>
      <c r="F138" s="5">
        <f>+E138/$B138</f>
        <v>1.027200387661691E-3</v>
      </c>
      <c r="G138" s="4">
        <f>SUM(G139:G141)</f>
        <v>182</v>
      </c>
      <c r="H138" s="5">
        <f>+G138/$B138</f>
        <v>2.549324598469469E-4</v>
      </c>
      <c r="I138" s="4">
        <f>SUM(I139:I141)</f>
        <v>110083.96333333333</v>
      </c>
      <c r="J138" s="5">
        <f t="shared" si="20"/>
        <v>0.15419766792454823</v>
      </c>
      <c r="K138" s="4">
        <f>SUM(K139:K141)</f>
        <v>136725.87333333332</v>
      </c>
      <c r="L138" s="5">
        <f>+K138/$B138</f>
        <v>0.19151573194279534</v>
      </c>
      <c r="M138" s="4">
        <f>SUM(M139:M141)</f>
        <v>2424.2400000000002</v>
      </c>
      <c r="N138" s="5">
        <f>+M138/$B138</f>
        <v>3.3957003651613332E-3</v>
      </c>
      <c r="O138" s="4">
        <f>SUM(O139:O141)</f>
        <v>187707.80666666667</v>
      </c>
      <c r="P138" s="5">
        <f>+O138/$B138</f>
        <v>0.26292754332971691</v>
      </c>
      <c r="Q138" s="4">
        <f>SUM(Q139:Q141)</f>
        <v>0</v>
      </c>
      <c r="R138" s="5">
        <f>+Q138/$B138</f>
        <v>0</v>
      </c>
      <c r="S138" s="4">
        <f>SUM(S139:S141)</f>
        <v>42342.023333333331</v>
      </c>
      <c r="T138" s="5">
        <f>+S138/$B138</f>
        <v>5.930964924870049E-2</v>
      </c>
      <c r="U138" s="4">
        <f>SUM(U139:U141)</f>
        <v>72738.28333333334</v>
      </c>
      <c r="V138" s="5">
        <f>+U138/$B138</f>
        <v>0.10188653568797171</v>
      </c>
      <c r="W138" s="4">
        <f>SUM(W139:W141)</f>
        <v>34109.946666666663</v>
      </c>
      <c r="X138" s="5">
        <f>+W138/$B138</f>
        <v>4.7778750598799449E-2</v>
      </c>
      <c r="Y138" s="4">
        <f>SUM(Y139:Y141)</f>
        <v>162633.72333333333</v>
      </c>
      <c r="Z138" s="5">
        <f>+Y138/$B138</f>
        <v>0.22780557771117843</v>
      </c>
      <c r="AA138" s="4">
        <f>SUM(AA139:AA141)</f>
        <v>1052311.2633333334</v>
      </c>
      <c r="AB138" s="5">
        <f>+AA138/$B138</f>
        <v>1.4740016422319506</v>
      </c>
      <c r="AC138" s="4">
        <f>+C138+E138+G138+I138+K138+M138+O138+Q138+S138+U138+W138+Y138+AA138</f>
        <v>1801992.4566666668</v>
      </c>
      <c r="AD138" s="5">
        <f>+AC138/$B138</f>
        <v>2.5241009318883312</v>
      </c>
    </row>
    <row r="139" spans="1:33">
      <c r="A139" s="14" t="s">
        <v>23</v>
      </c>
      <c r="B139" s="6">
        <f>+(B42+B58+B94)/3</f>
        <v>713914.58000000007</v>
      </c>
      <c r="C139" s="28">
        <f>+(C77+C94+C110)/3</f>
        <v>0</v>
      </c>
      <c r="D139" s="19">
        <f>+C139/B139</f>
        <v>0</v>
      </c>
      <c r="E139" s="28">
        <f>+(E77+E94+E110)/3</f>
        <v>733.33333333333337</v>
      </c>
      <c r="F139" s="7">
        <f>+E139/$B139</f>
        <v>1.027200387661691E-3</v>
      </c>
      <c r="G139" s="28">
        <f>+(G77+G94+G110)/3</f>
        <v>182</v>
      </c>
      <c r="H139" s="7">
        <f>+G139/$B139</f>
        <v>2.549324598469469E-4</v>
      </c>
      <c r="I139" s="28">
        <f>+(I77+I94+I110)/3</f>
        <v>110083.96333333333</v>
      </c>
      <c r="J139" s="7">
        <f t="shared" si="20"/>
        <v>0.15419766792454823</v>
      </c>
      <c r="K139" s="28">
        <f>+(K77+K94+K110)/3</f>
        <v>136725.87333333332</v>
      </c>
      <c r="L139" s="7">
        <f>+K139/$B139</f>
        <v>0.19151573194279534</v>
      </c>
      <c r="M139" s="28">
        <f>+(M77+M94+M110)/3</f>
        <v>2424.2400000000002</v>
      </c>
      <c r="N139" s="7">
        <f>+M139/$B139</f>
        <v>3.3957003651613332E-3</v>
      </c>
      <c r="O139" s="28">
        <f>+(O77+O94+O110)/3</f>
        <v>187707.80666666667</v>
      </c>
      <c r="P139" s="7">
        <f>+O139/$B139</f>
        <v>0.26292754332971691</v>
      </c>
      <c r="Q139" s="28">
        <f>+(Q77+Q94+Q110)/3</f>
        <v>0</v>
      </c>
      <c r="R139" s="7">
        <f>+Q139/$B139</f>
        <v>0</v>
      </c>
      <c r="S139" s="28">
        <f>+(S77+S94+S110)/3</f>
        <v>42342.023333333331</v>
      </c>
      <c r="T139" s="7">
        <f>+S139/$B139</f>
        <v>5.930964924870049E-2</v>
      </c>
      <c r="U139" s="28">
        <f>+(U77+U94+U110)/3</f>
        <v>72738.28333333334</v>
      </c>
      <c r="V139" s="7">
        <f>+U139/$B139</f>
        <v>0.10188653568797171</v>
      </c>
      <c r="W139" s="28">
        <f>+(W77+W94+W110)/3</f>
        <v>34109.946666666663</v>
      </c>
      <c r="X139" s="7">
        <f>+W139/$B139</f>
        <v>4.7778750598799449E-2</v>
      </c>
      <c r="Y139" s="28">
        <f>+(Y77+Y94+Y110)/3</f>
        <v>162633.72333333333</v>
      </c>
      <c r="Z139" s="7">
        <f>+Y139/$B139</f>
        <v>0.22780557771117843</v>
      </c>
      <c r="AA139" s="28">
        <f>+(AA77+AA94+AA110)/3</f>
        <v>1052311.2633333334</v>
      </c>
      <c r="AB139" s="7">
        <f>+AA139/$B139</f>
        <v>1.4740016422319506</v>
      </c>
      <c r="AC139" s="28">
        <f>+(AC42+AC58+AC94)/3</f>
        <v>713914.58000000007</v>
      </c>
      <c r="AD139" s="7">
        <f>+AC139/$B139</f>
        <v>1</v>
      </c>
    </row>
    <row r="140" spans="1:33">
      <c r="A140" s="13" t="s">
        <v>24</v>
      </c>
      <c r="B140" s="6">
        <f>+(B27+B43+B59)/3</f>
        <v>0</v>
      </c>
      <c r="C140" s="28">
        <f>+(C27+C43+C59)/3</f>
        <v>0</v>
      </c>
      <c r="D140" s="19"/>
      <c r="E140" s="28">
        <f>+(E27+E43+E59)/3</f>
        <v>0</v>
      </c>
      <c r="F140" s="7"/>
      <c r="G140" s="28">
        <f>+(G27+G43+G59)/3</f>
        <v>0</v>
      </c>
      <c r="H140" s="7"/>
      <c r="I140" s="28">
        <f>+(I27+I43+I59)/3</f>
        <v>0</v>
      </c>
      <c r="J140" s="7"/>
      <c r="K140" s="28">
        <f>+(K27+K43+K59)/3</f>
        <v>0</v>
      </c>
      <c r="L140" s="7"/>
      <c r="M140" s="28">
        <f>+(M27+M43+M59)/3</f>
        <v>0</v>
      </c>
      <c r="N140" s="7"/>
      <c r="O140" s="28">
        <f>+(O27+O43+O59)/3</f>
        <v>0</v>
      </c>
      <c r="P140" s="7"/>
      <c r="Q140" s="28">
        <f>+(Q27+Q43+Q59)/3</f>
        <v>0</v>
      </c>
      <c r="R140" s="7"/>
      <c r="S140" s="28">
        <f>+(S27+S43+S59)/3</f>
        <v>0</v>
      </c>
      <c r="T140" s="7"/>
      <c r="U140" s="28">
        <f>+(U27+U43+U59)/3</f>
        <v>0</v>
      </c>
      <c r="V140" s="7"/>
      <c r="W140" s="28">
        <f>+(W27+W43+W59)/3</f>
        <v>0</v>
      </c>
      <c r="X140" s="7"/>
      <c r="Y140" s="6">
        <f>+(Y12+Y27+Y43)/3</f>
        <v>0</v>
      </c>
      <c r="Z140" s="7"/>
      <c r="AA140" s="28">
        <f>+(AA12+AA27+AA43)/3</f>
        <v>0</v>
      </c>
      <c r="AB140" s="7"/>
      <c r="AC140" s="6">
        <f>+(AC12+AC27+AC43)/3</f>
        <v>0</v>
      </c>
      <c r="AD140" s="7"/>
    </row>
    <row r="141" spans="1:33">
      <c r="A141" s="13" t="s">
        <v>25</v>
      </c>
      <c r="B141" s="28">
        <f>+(B28+B44+B60)/3</f>
        <v>0</v>
      </c>
      <c r="C141" s="28">
        <f>+(C28+C44+C60)/3</f>
        <v>0</v>
      </c>
      <c r="D141" s="19"/>
      <c r="E141" s="28">
        <f>+(E28+E44+E60)/3</f>
        <v>0</v>
      </c>
      <c r="F141" s="7"/>
      <c r="G141" s="28">
        <f>+(G28+G44+G60)/3</f>
        <v>0</v>
      </c>
      <c r="H141" s="7"/>
      <c r="I141" s="28">
        <f>+(I28+I44+I60)/3</f>
        <v>0</v>
      </c>
      <c r="J141" s="7"/>
      <c r="K141" s="28">
        <f>+(K28+K44+K60)/3</f>
        <v>0</v>
      </c>
      <c r="L141" s="7"/>
      <c r="M141" s="28">
        <f>+(M28+M44+M60)/3</f>
        <v>0</v>
      </c>
      <c r="N141" s="7"/>
      <c r="O141" s="28">
        <f>+(O28+O44+O60)/3</f>
        <v>0</v>
      </c>
      <c r="P141" s="7"/>
      <c r="Q141" s="28">
        <f>+(Q28+Q44+Q60)/3</f>
        <v>0</v>
      </c>
      <c r="R141" s="7"/>
      <c r="S141" s="28">
        <f>+(S28+S44+S60)/3</f>
        <v>0</v>
      </c>
      <c r="T141" s="7"/>
      <c r="U141" s="28">
        <f>+(U28+U44+U60)/3</f>
        <v>0</v>
      </c>
      <c r="V141" s="7"/>
      <c r="W141" s="28">
        <f>+(W28+W44+W60)/3</f>
        <v>0</v>
      </c>
      <c r="X141" s="7"/>
      <c r="Y141" s="6">
        <f>+(Y13+Y28+Y44)/3</f>
        <v>0</v>
      </c>
      <c r="Z141" s="7"/>
      <c r="AA141" s="28">
        <f>+(AA13+AA28+AA44)/3</f>
        <v>0</v>
      </c>
      <c r="AB141" s="7"/>
      <c r="AC141" s="6">
        <f>+(AC13+AC28+AC44)/3</f>
        <v>0</v>
      </c>
      <c r="AD141" s="7"/>
    </row>
    <row r="142" spans="1:33">
      <c r="A142" s="15" t="s">
        <v>17</v>
      </c>
      <c r="B142" s="16">
        <f>+B134+B138</f>
        <v>121393388.46333332</v>
      </c>
      <c r="C142" s="16">
        <f>+C134+C138</f>
        <v>14024735.880000001</v>
      </c>
      <c r="D142" s="17">
        <f t="shared" ref="D142:Z142" si="21">+D134+D138</f>
        <v>0.11621475822440518</v>
      </c>
      <c r="E142" s="16">
        <f t="shared" si="21"/>
        <v>10424766.743333334</v>
      </c>
      <c r="F142" s="17">
        <f t="shared" si="21"/>
        <v>8.7405049698451823E-2</v>
      </c>
      <c r="G142" s="16">
        <f t="shared" si="21"/>
        <v>10589764.030000001</v>
      </c>
      <c r="H142" s="17">
        <f t="shared" si="21"/>
        <v>8.8004586060735718E-2</v>
      </c>
      <c r="I142" s="16">
        <f t="shared" si="21"/>
        <v>9543374.6133333333</v>
      </c>
      <c r="J142" s="17">
        <f t="shared" si="21"/>
        <v>0.23236581323084626</v>
      </c>
      <c r="K142" s="16">
        <f t="shared" si="21"/>
        <v>7898067.1499999985</v>
      </c>
      <c r="L142" s="17">
        <f t="shared" si="21"/>
        <v>0.2558294136892863</v>
      </c>
      <c r="M142" s="16">
        <f t="shared" si="21"/>
        <v>8425007.4333333336</v>
      </c>
      <c r="N142" s="17">
        <f t="shared" si="21"/>
        <v>7.3188705938551979E-2</v>
      </c>
      <c r="O142" s="16">
        <f t="shared" si="21"/>
        <v>9399730.2999999989</v>
      </c>
      <c r="P142" s="17">
        <f t="shared" si="21"/>
        <v>0.33926216923502239</v>
      </c>
      <c r="Q142" s="16">
        <f t="shared" si="21"/>
        <v>8723153.7433333341</v>
      </c>
      <c r="R142" s="17">
        <f t="shared" si="21"/>
        <v>7.2283657382915242E-2</v>
      </c>
      <c r="S142" s="16">
        <f t="shared" si="21"/>
        <v>8547722.8366666678</v>
      </c>
      <c r="T142" s="17">
        <f t="shared" si="21"/>
        <v>0.12978875012343496</v>
      </c>
      <c r="U142" s="16">
        <f t="shared" si="21"/>
        <v>9552312.7200000007</v>
      </c>
      <c r="V142" s="17">
        <f t="shared" si="21"/>
        <v>0.18043820758066681</v>
      </c>
      <c r="W142" s="16">
        <f t="shared" si="21"/>
        <v>8794881.746666668</v>
      </c>
      <c r="X142" s="17">
        <f t="shared" si="21"/>
        <v>0.12037412674760055</v>
      </c>
      <c r="Y142" s="16">
        <f t="shared" si="21"/>
        <v>15775821.6</v>
      </c>
      <c r="Z142" s="17">
        <f t="shared" si="21"/>
        <v>0.35718290572108247</v>
      </c>
      <c r="AA142" s="24">
        <f>+AA134+AA138</f>
        <v>8156650.3066666722</v>
      </c>
      <c r="AB142" s="17">
        <f>+AB134+AB138</f>
        <v>1.5328711319199935</v>
      </c>
      <c r="AC142" s="16">
        <f>+C142+E142+G142+I142+K142+M142+O142+Q142+S142+U142+W142+Y142+AA142</f>
        <v>129855989.10333334</v>
      </c>
      <c r="AD142" s="17">
        <f>+AC142/B142</f>
        <v>1.0697122038285976</v>
      </c>
    </row>
    <row r="144" spans="1:33">
      <c r="AC144" s="118"/>
    </row>
    <row r="145" spans="2:2">
      <c r="B145" s="26"/>
    </row>
    <row r="147" spans="2:2">
      <c r="B147" s="26"/>
    </row>
    <row r="329" spans="4:4">
      <c r="D329" s="18"/>
    </row>
  </sheetData>
  <sheetProtection selectLockedCells="1" selectUnlockedCells="1"/>
  <mergeCells count="144">
    <mergeCell ref="AA103:AB103"/>
    <mergeCell ref="AC103:AD103"/>
    <mergeCell ref="O103:P103"/>
    <mergeCell ref="Q103:R103"/>
    <mergeCell ref="S103:T103"/>
    <mergeCell ref="U103:V103"/>
    <mergeCell ref="W103:X103"/>
    <mergeCell ref="Y103:Z103"/>
    <mergeCell ref="A100:AD100"/>
    <mergeCell ref="A101:AD101"/>
    <mergeCell ref="A103:A104"/>
    <mergeCell ref="B103:B104"/>
    <mergeCell ref="C103:D103"/>
    <mergeCell ref="E103:F103"/>
    <mergeCell ref="G103:H103"/>
    <mergeCell ref="I103:J103"/>
    <mergeCell ref="K103:L103"/>
    <mergeCell ref="M103:N103"/>
    <mergeCell ref="AA87:AB87"/>
    <mergeCell ref="AC87:AD87"/>
    <mergeCell ref="O87:P87"/>
    <mergeCell ref="Q87:R87"/>
    <mergeCell ref="S87:T87"/>
    <mergeCell ref="U87:V87"/>
    <mergeCell ref="W87:X87"/>
    <mergeCell ref="Y87:Z87"/>
    <mergeCell ref="A84:AD84"/>
    <mergeCell ref="A85:AD85"/>
    <mergeCell ref="A87:A88"/>
    <mergeCell ref="B87:B88"/>
    <mergeCell ref="C87:D87"/>
    <mergeCell ref="E87:F87"/>
    <mergeCell ref="G87:H87"/>
    <mergeCell ref="I87:J87"/>
    <mergeCell ref="K87:L87"/>
    <mergeCell ref="M87:N87"/>
    <mergeCell ref="AA70:AB70"/>
    <mergeCell ref="AC70:AD70"/>
    <mergeCell ref="K70:L70"/>
    <mergeCell ref="M70:N70"/>
    <mergeCell ref="O70:P70"/>
    <mergeCell ref="Q70:R70"/>
    <mergeCell ref="C70:D70"/>
    <mergeCell ref="E70:F70"/>
    <mergeCell ref="U70:V70"/>
    <mergeCell ref="I70:J70"/>
    <mergeCell ref="W70:X70"/>
    <mergeCell ref="Y70:Z70"/>
    <mergeCell ref="U51:V51"/>
    <mergeCell ref="M51:N51"/>
    <mergeCell ref="S70:T70"/>
    <mergeCell ref="Y35:Z35"/>
    <mergeCell ref="S132:T132"/>
    <mergeCell ref="U132:V132"/>
    <mergeCell ref="A67:AD67"/>
    <mergeCell ref="A68:AD68"/>
    <mergeCell ref="A70:A71"/>
    <mergeCell ref="B70:B71"/>
    <mergeCell ref="W19:X19"/>
    <mergeCell ref="G132:H132"/>
    <mergeCell ref="G70:H70"/>
    <mergeCell ref="B19:B20"/>
    <mergeCell ref="B35:B36"/>
    <mergeCell ref="O19:P19"/>
    <mergeCell ref="U35:V35"/>
    <mergeCell ref="O35:P35"/>
    <mergeCell ref="Q35:R35"/>
    <mergeCell ref="S35:T35"/>
    <mergeCell ref="Y51:Z51"/>
    <mergeCell ref="K51:L51"/>
    <mergeCell ref="AC4:AD4"/>
    <mergeCell ref="AA35:AB35"/>
    <mergeCell ref="W132:X132"/>
    <mergeCell ref="AA19:AB19"/>
    <mergeCell ref="A129:AD129"/>
    <mergeCell ref="Q19:R19"/>
    <mergeCell ref="S19:T19"/>
    <mergeCell ref="U19:V19"/>
    <mergeCell ref="AA132:AB132"/>
    <mergeCell ref="AC132:AD132"/>
    <mergeCell ref="M19:N19"/>
    <mergeCell ref="A32:AD32"/>
    <mergeCell ref="A33:AD33"/>
    <mergeCell ref="C35:D35"/>
    <mergeCell ref="AA51:AB51"/>
    <mergeCell ref="AC51:AD51"/>
    <mergeCell ref="Q51:R51"/>
    <mergeCell ref="S51:T51"/>
    <mergeCell ref="K132:L132"/>
    <mergeCell ref="I35:J35"/>
    <mergeCell ref="Y132:Z132"/>
    <mergeCell ref="A130:AD130"/>
    <mergeCell ref="A132:A133"/>
    <mergeCell ref="B132:B133"/>
    <mergeCell ref="C132:D132"/>
    <mergeCell ref="E132:F132"/>
    <mergeCell ref="I132:J132"/>
    <mergeCell ref="O132:P132"/>
    <mergeCell ref="I51:J51"/>
    <mergeCell ref="C19:D19"/>
    <mergeCell ref="E19:F19"/>
    <mergeCell ref="G19:H19"/>
    <mergeCell ref="I19:J19"/>
    <mergeCell ref="K19:L19"/>
    <mergeCell ref="A4:A5"/>
    <mergeCell ref="A19:A20"/>
    <mergeCell ref="E35:F35"/>
    <mergeCell ref="G35:H35"/>
    <mergeCell ref="AC35:AD35"/>
    <mergeCell ref="M132:N132"/>
    <mergeCell ref="Q132:R132"/>
    <mergeCell ref="A48:AD48"/>
    <mergeCell ref="A49:AD49"/>
    <mergeCell ref="A51:A52"/>
    <mergeCell ref="W35:X35"/>
    <mergeCell ref="O51:P51"/>
    <mergeCell ref="W51:X51"/>
    <mergeCell ref="A35:A36"/>
    <mergeCell ref="A17:AD17"/>
    <mergeCell ref="A16:AD16"/>
    <mergeCell ref="B51:B52"/>
    <mergeCell ref="C51:D51"/>
    <mergeCell ref="E51:F51"/>
    <mergeCell ref="G51:H51"/>
    <mergeCell ref="K4:L4"/>
    <mergeCell ref="AC19:AD19"/>
    <mergeCell ref="K35:L35"/>
    <mergeCell ref="M35:N35"/>
    <mergeCell ref="S4:T4"/>
    <mergeCell ref="U4:V4"/>
    <mergeCell ref="W4:X4"/>
    <mergeCell ref="Y4:Z4"/>
    <mergeCell ref="O4:P4"/>
    <mergeCell ref="Q4:R4"/>
    <mergeCell ref="M4:N4"/>
    <mergeCell ref="Y19:Z19"/>
    <mergeCell ref="AA4:AB4"/>
    <mergeCell ref="B4:B5"/>
    <mergeCell ref="A1:AD1"/>
    <mergeCell ref="A2:AD2"/>
    <mergeCell ref="C4:D4"/>
    <mergeCell ref="E4:F4"/>
    <mergeCell ref="G4:H4"/>
    <mergeCell ref="I4:J4"/>
  </mergeCells>
  <pageMargins left="0.15748031496062992" right="0.15748031496062992" top="0.78740157480314965" bottom="0.78740157480314965" header="0.31496062992125984" footer="0.31496062992125984"/>
  <pageSetup scale="4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1"/>
  <sheetViews>
    <sheetView showGridLines="0" zoomScaleNormal="100" workbookViewId="0">
      <selection activeCell="C35" sqref="C35"/>
    </sheetView>
  </sheetViews>
  <sheetFormatPr defaultRowHeight="11.25"/>
  <cols>
    <col min="1" max="1" width="1.5703125" style="51" customWidth="1"/>
    <col min="2" max="2" width="27.5703125" style="51" customWidth="1"/>
    <col min="3" max="3" width="12.85546875" style="51" bestFit="1" customWidth="1"/>
    <col min="4" max="4" width="11" style="51" bestFit="1" customWidth="1"/>
    <col min="5" max="5" width="11.5703125" style="51" bestFit="1" customWidth="1"/>
    <col min="6" max="6" width="10.7109375" style="51" bestFit="1" customWidth="1"/>
    <col min="7" max="7" width="11.42578125" style="51" bestFit="1" customWidth="1"/>
    <col min="8" max="8" width="15" style="51" bestFit="1" customWidth="1"/>
    <col min="9" max="9" width="11.28515625" style="51" bestFit="1" customWidth="1"/>
    <col min="10" max="12" width="9.85546875" style="51" bestFit="1" customWidth="1"/>
    <col min="13" max="13" width="9.85546875" style="51" customWidth="1"/>
    <col min="14" max="14" width="9.28515625" style="51" customWidth="1"/>
    <col min="15" max="19" width="9.85546875" style="51" bestFit="1" customWidth="1"/>
    <col min="20" max="20" width="10.28515625" style="51" bestFit="1" customWidth="1"/>
    <col min="21" max="21" width="12.85546875" style="51" bestFit="1" customWidth="1"/>
    <col min="22" max="22" width="11.140625" style="51" bestFit="1" customWidth="1"/>
    <col min="23" max="16384" width="9.140625" style="51"/>
  </cols>
  <sheetData>
    <row r="1" spans="1:29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50"/>
    </row>
    <row r="2" spans="1:29" ht="18.75">
      <c r="A2" s="4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52"/>
      <c r="W2" s="52"/>
      <c r="X2" s="52"/>
      <c r="Y2" s="52"/>
      <c r="Z2" s="52"/>
      <c r="AA2" s="52"/>
      <c r="AB2" s="53"/>
      <c r="AC2" s="50"/>
    </row>
    <row r="3" spans="1:29" ht="18.75">
      <c r="A3" s="49"/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52"/>
      <c r="W3" s="52"/>
      <c r="X3" s="52"/>
      <c r="Y3" s="52"/>
      <c r="Z3" s="52"/>
      <c r="AA3" s="52"/>
      <c r="AB3" s="53"/>
      <c r="AC3" s="50"/>
    </row>
    <row r="4" spans="1:29" ht="18.75">
      <c r="A4" s="49"/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54"/>
      <c r="W4" s="54"/>
      <c r="X4" s="54"/>
      <c r="Y4" s="54"/>
      <c r="Z4" s="54"/>
      <c r="AA4" s="54"/>
      <c r="AB4" s="55"/>
      <c r="AC4" s="50"/>
    </row>
    <row r="5" spans="1:29" ht="18.75">
      <c r="A5" s="49"/>
      <c r="B5" s="49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54"/>
      <c r="W5" s="54"/>
      <c r="X5" s="54"/>
      <c r="Y5" s="54"/>
      <c r="Z5" s="54"/>
      <c r="AA5" s="54"/>
      <c r="AB5" s="55"/>
      <c r="AC5" s="50"/>
    </row>
    <row r="6" spans="1:29" ht="19.5" thickBot="1">
      <c r="A6" s="49"/>
      <c r="B6" s="49" t="s">
        <v>68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4"/>
      <c r="W6" s="54"/>
      <c r="X6" s="54"/>
      <c r="Y6" s="54"/>
      <c r="Z6" s="54"/>
      <c r="AA6" s="54"/>
      <c r="AB6" s="55"/>
      <c r="AC6" s="50"/>
    </row>
    <row r="7" spans="1:29">
      <c r="A7" s="49"/>
      <c r="B7" s="57" t="s">
        <v>30</v>
      </c>
      <c r="C7" s="58" t="s">
        <v>54</v>
      </c>
      <c r="D7" s="58" t="s">
        <v>2</v>
      </c>
      <c r="E7" s="58" t="s">
        <v>3</v>
      </c>
      <c r="F7" s="58" t="s">
        <v>4</v>
      </c>
      <c r="G7" s="59" t="s">
        <v>61</v>
      </c>
      <c r="H7" s="58" t="s">
        <v>5</v>
      </c>
      <c r="I7" s="58" t="s">
        <v>6</v>
      </c>
      <c r="J7" s="58" t="s">
        <v>7</v>
      </c>
      <c r="K7" s="59" t="s">
        <v>62</v>
      </c>
      <c r="L7" s="58" t="s">
        <v>8</v>
      </c>
      <c r="M7" s="58" t="s">
        <v>9</v>
      </c>
      <c r="N7" s="58" t="s">
        <v>10</v>
      </c>
      <c r="O7" s="59" t="s">
        <v>63</v>
      </c>
      <c r="P7" s="58" t="s">
        <v>11</v>
      </c>
      <c r="Q7" s="58" t="s">
        <v>12</v>
      </c>
      <c r="R7" s="58" t="s">
        <v>13</v>
      </c>
      <c r="S7" s="59" t="s">
        <v>65</v>
      </c>
      <c r="T7" s="60" t="s">
        <v>36</v>
      </c>
      <c r="V7" s="49"/>
      <c r="W7" s="49"/>
      <c r="X7" s="49"/>
      <c r="Y7" s="49"/>
      <c r="Z7" s="49"/>
      <c r="AA7" s="49"/>
      <c r="AB7" s="49"/>
      <c r="AC7" s="50"/>
    </row>
    <row r="8" spans="1:29">
      <c r="A8" s="49"/>
      <c r="B8" s="61" t="s">
        <v>28</v>
      </c>
      <c r="C8" s="62">
        <f>SUM(C9:C16)</f>
        <v>208211049.84999999</v>
      </c>
      <c r="D8" s="62">
        <f>SUM(D9:D16)</f>
        <v>55130582.60233435</v>
      </c>
      <c r="E8" s="62">
        <f t="shared" ref="E8:R8" si="0">SUM(E9:E16)</f>
        <v>23279499.229827598</v>
      </c>
      <c r="F8" s="62">
        <f t="shared" si="0"/>
        <v>16900101.484198272</v>
      </c>
      <c r="G8" s="63">
        <f t="shared" si="0"/>
        <v>95310183.31636022</v>
      </c>
      <c r="H8" s="62">
        <f t="shared" si="0"/>
        <v>17447650.18298338</v>
      </c>
      <c r="I8" s="62">
        <f t="shared" si="0"/>
        <v>11909770.291202748</v>
      </c>
      <c r="J8" s="62">
        <f t="shared" si="0"/>
        <v>9851065.1534467377</v>
      </c>
      <c r="K8" s="63">
        <f>SUM(K9:K16)</f>
        <v>39208485.627632864</v>
      </c>
      <c r="L8" s="62">
        <f t="shared" si="0"/>
        <v>10610228.477062766</v>
      </c>
      <c r="M8" s="62">
        <f t="shared" si="0"/>
        <v>10017865.890883956</v>
      </c>
      <c r="N8" s="62">
        <f t="shared" si="0"/>
        <v>9495103.9151965212</v>
      </c>
      <c r="O8" s="63">
        <f t="shared" si="0"/>
        <v>30123198.283143245</v>
      </c>
      <c r="P8" s="62">
        <f t="shared" si="0"/>
        <v>10604520.885806594</v>
      </c>
      <c r="Q8" s="62">
        <f t="shared" si="0"/>
        <v>9259906.6662706733</v>
      </c>
      <c r="R8" s="62">
        <f t="shared" si="0"/>
        <v>16504753.680111924</v>
      </c>
      <c r="S8" s="63">
        <f>SUM(S9:S16)</f>
        <v>36369181.232189193</v>
      </c>
      <c r="T8" s="64">
        <f>SUM(T9:T16)</f>
        <v>201011048.45932555</v>
      </c>
      <c r="V8" s="95"/>
      <c r="W8" s="49"/>
      <c r="X8" s="49"/>
      <c r="Y8" s="49"/>
      <c r="Z8" s="49"/>
      <c r="AA8" s="49"/>
      <c r="AB8" s="49"/>
      <c r="AC8" s="50"/>
    </row>
    <row r="9" spans="1:29">
      <c r="A9" s="49"/>
      <c r="B9" s="65" t="s">
        <v>42</v>
      </c>
      <c r="C9" s="66">
        <v>0</v>
      </c>
      <c r="D9" s="66">
        <f>+C9*'Receita 19_20_21'!D189</f>
        <v>0</v>
      </c>
      <c r="E9" s="66">
        <f>+C9*'Receita 19_20_21'!F189</f>
        <v>0</v>
      </c>
      <c r="F9" s="66">
        <f>+C9*'Receita 19_20_21'!H189</f>
        <v>0</v>
      </c>
      <c r="G9" s="67">
        <f>SUM(D9:F9)</f>
        <v>0</v>
      </c>
      <c r="H9" s="66">
        <f>+C9*'Receita 19_20_21'!J189</f>
        <v>0</v>
      </c>
      <c r="I9" s="66">
        <f>+'Cronograma Previsto'!C9*'Receita 19_20_21'!L189</f>
        <v>0</v>
      </c>
      <c r="J9" s="66">
        <f>+C9*'Receita 19_20_21'!N189</f>
        <v>0</v>
      </c>
      <c r="K9" s="67">
        <f>SUM(H9:J9)</f>
        <v>0</v>
      </c>
      <c r="L9" s="66">
        <f>+C9*'Receita 19_20_21'!P189</f>
        <v>0</v>
      </c>
      <c r="M9" s="66">
        <f>+C9*'Receita 19_20_21'!R189</f>
        <v>0</v>
      </c>
      <c r="N9" s="66">
        <f>+C9*'Receita 19_20_21'!T189</f>
        <v>0</v>
      </c>
      <c r="O9" s="67">
        <f>SUM(L9:N9)</f>
        <v>0</v>
      </c>
      <c r="P9" s="66">
        <f>+C9*'Receita 19_20_21'!V189</f>
        <v>0</v>
      </c>
      <c r="Q9" s="66">
        <f>+C9*'Receita 19_20_21'!X189</f>
        <v>0</v>
      </c>
      <c r="R9" s="66">
        <f>+C9*'Receita 19_20_21'!Z189</f>
        <v>0</v>
      </c>
      <c r="S9" s="67">
        <f>SUM(P9:R9)</f>
        <v>0</v>
      </c>
      <c r="T9" s="68">
        <f>+D9+E9+F9+H9+I9+J9+L9+M9+N9+P9+Q9+R9</f>
        <v>0</v>
      </c>
      <c r="V9" s="49"/>
      <c r="W9" s="49"/>
      <c r="X9" s="49"/>
      <c r="Y9" s="49"/>
      <c r="Z9" s="49"/>
      <c r="AA9" s="49"/>
      <c r="AB9" s="49"/>
      <c r="AC9" s="50"/>
    </row>
    <row r="10" spans="1:29">
      <c r="A10" s="49"/>
      <c r="B10" s="65" t="s">
        <v>31</v>
      </c>
      <c r="C10" s="66">
        <v>138632104.88</v>
      </c>
      <c r="D10" s="66">
        <f>+C10*'Receita 19_20_21'!D190</f>
        <v>47628514.288641468</v>
      </c>
      <c r="E10" s="66">
        <f>+C10*'Receita 19_20_21'!F190-3000000</f>
        <v>16483427.039783038</v>
      </c>
      <c r="F10" s="66">
        <f>+C10*'Receita 19_20_21'!H190-5000000</f>
        <v>9066868.9200249389</v>
      </c>
      <c r="G10" s="67">
        <f t="shared" ref="G10:G16" si="1">SUM(D10:F10)</f>
        <v>73178810.248449445</v>
      </c>
      <c r="H10" s="66">
        <f>+C10*'Receita 19_20_21'!J190</f>
        <v>11544892.316337649</v>
      </c>
      <c r="I10" s="66">
        <f>+'Cronograma Previsto'!C10*'Receita 19_20_21'!L190</f>
        <v>6647584.1821278008</v>
      </c>
      <c r="J10" s="66">
        <f>+C10*'Receita 19_20_21'!N190</f>
        <v>5185422.9001867371</v>
      </c>
      <c r="K10" s="67">
        <f t="shared" ref="K10:K16" si="2">SUM(H10:J10)</f>
        <v>23377899.398652185</v>
      </c>
      <c r="L10" s="66">
        <f>+C10*'Receita 19_20_21'!P190</f>
        <v>5269543.6564704115</v>
      </c>
      <c r="M10" s="66">
        <f>+C10*'Receita 19_20_21'!R190</f>
        <v>4621688.8398789708</v>
      </c>
      <c r="N10" s="66">
        <f>+C10*'Receita 19_20_21'!T190</f>
        <v>4361694.9508685544</v>
      </c>
      <c r="O10" s="67">
        <f t="shared" ref="O10:O16" si="3">SUM(L10:N10)</f>
        <v>14252927.447217938</v>
      </c>
      <c r="P10" s="66">
        <f>+C10*'Receita 19_20_21'!V190</f>
        <v>4627153.6470897608</v>
      </c>
      <c r="Q10" s="66">
        <f>+C10*'Receita 19_20_21'!X190</f>
        <v>4482232.6093665501</v>
      </c>
      <c r="R10" s="66">
        <f>+C10*'Receita 19_20_21'!Z190</f>
        <v>10713081.529224126</v>
      </c>
      <c r="S10" s="67">
        <f t="shared" ref="S10:S16" si="4">SUM(P10:R10)</f>
        <v>19822467.785680436</v>
      </c>
      <c r="T10" s="68">
        <f t="shared" ref="T10:T16" si="5">+D10+E10+F10+H10+I10+J10+L10+M10+N10+P10+Q10+R10</f>
        <v>130632104.88000003</v>
      </c>
      <c r="V10" s="49"/>
      <c r="W10" s="49"/>
      <c r="X10" s="49"/>
      <c r="Y10" s="49"/>
      <c r="Z10" s="49"/>
      <c r="AA10" s="49"/>
      <c r="AB10" s="49"/>
      <c r="AC10" s="50"/>
    </row>
    <row r="11" spans="1:29">
      <c r="A11" s="49"/>
      <c r="B11" s="65" t="s">
        <v>32</v>
      </c>
      <c r="C11" s="66">
        <v>18175742.620000001</v>
      </c>
      <c r="D11" s="66">
        <f>+C11*'Receita 19_20_21'!D191</f>
        <v>1483529.6879954578</v>
      </c>
      <c r="E11" s="66">
        <f>+C11*'Receita 19_20_21'!F191</f>
        <v>1554118.7818375702</v>
      </c>
      <c r="F11" s="66">
        <f>+C11*'Receita 19_20_21'!H191</f>
        <v>1757711.2492512588</v>
      </c>
      <c r="G11" s="67">
        <f t="shared" si="1"/>
        <v>4795359.7190842871</v>
      </c>
      <c r="H11" s="66">
        <f>+C11*'Receita 19_20_21'!J191</f>
        <v>1800090.9244691206</v>
      </c>
      <c r="I11" s="66">
        <f>+'Cronograma Previsto'!C11*'Receita 19_20_21'!L191</f>
        <v>1769688.6216651753</v>
      </c>
      <c r="J11" s="66">
        <f>+C11*'Receita 19_20_21'!N191</f>
        <v>1603815.8934692403</v>
      </c>
      <c r="K11" s="67">
        <f t="shared" si="2"/>
        <v>5173595.4396035364</v>
      </c>
      <c r="L11" s="66">
        <f>+C11*'Receita 19_20_21'!P191</f>
        <v>1680986.0714562959</v>
      </c>
      <c r="M11" s="66">
        <f>+C11*'Receita 19_20_21'!R191</f>
        <v>1525964.2783389755</v>
      </c>
      <c r="N11" s="66">
        <f>+C11*'Receita 19_20_21'!T191</f>
        <v>1328975.8566101405</v>
      </c>
      <c r="O11" s="67">
        <f t="shared" si="3"/>
        <v>4535926.2064054124</v>
      </c>
      <c r="P11" s="66">
        <f>+C11*'Receita 19_20_21'!V191</f>
        <v>1386529.1440696341</v>
      </c>
      <c r="Q11" s="66">
        <f>+C11*'Receita 19_20_21'!X191</f>
        <v>1160624.9630126406</v>
      </c>
      <c r="R11" s="66">
        <f>+C11*'Receita 19_20_21'!Z191</f>
        <v>1123707.1478244914</v>
      </c>
      <c r="S11" s="67">
        <f t="shared" si="4"/>
        <v>3670861.2549067661</v>
      </c>
      <c r="T11" s="68">
        <f t="shared" si="5"/>
        <v>18175742.620000001</v>
      </c>
      <c r="V11" s="49"/>
      <c r="W11" s="49"/>
      <c r="X11" s="49"/>
      <c r="Y11" s="49"/>
      <c r="Z11" s="49"/>
      <c r="AA11" s="49"/>
      <c r="AB11" s="49"/>
      <c r="AC11" s="50"/>
    </row>
    <row r="12" spans="1:29">
      <c r="A12" s="49"/>
      <c r="B12" s="65" t="s">
        <v>43</v>
      </c>
      <c r="C12" s="66">
        <v>0</v>
      </c>
      <c r="D12" s="66">
        <f>+C12*'Receita 19_20_21'!D192</f>
        <v>0</v>
      </c>
      <c r="E12" s="66">
        <f>+C12*'Receita 19_20_21'!F192</f>
        <v>0</v>
      </c>
      <c r="F12" s="66">
        <f>+C12*'Receita 19_20_21'!H192</f>
        <v>0</v>
      </c>
      <c r="G12" s="67">
        <f t="shared" si="1"/>
        <v>0</v>
      </c>
      <c r="H12" s="66">
        <f>+C12*'Receita 19_20_21'!J192</f>
        <v>0</v>
      </c>
      <c r="I12" s="66">
        <f>+'Cronograma Previsto'!C12*'Receita 19_20_21'!L192</f>
        <v>0</v>
      </c>
      <c r="J12" s="66">
        <f>+C12*'Receita 19_20_21'!N192</f>
        <v>0</v>
      </c>
      <c r="K12" s="67">
        <f t="shared" si="2"/>
        <v>0</v>
      </c>
      <c r="L12" s="66">
        <f>+C12*'Receita 19_20_21'!P192</f>
        <v>0</v>
      </c>
      <c r="M12" s="66">
        <f>+C12*'Receita 19_20_21'!R192</f>
        <v>0</v>
      </c>
      <c r="N12" s="66">
        <f>+C12*'Receita 19_20_21'!T192</f>
        <v>0</v>
      </c>
      <c r="O12" s="67">
        <f t="shared" si="3"/>
        <v>0</v>
      </c>
      <c r="P12" s="66">
        <f>+C12*'Receita 19_20_21'!V192</f>
        <v>0</v>
      </c>
      <c r="Q12" s="66">
        <f>+C12*'Receita 19_20_21'!X192</f>
        <v>0</v>
      </c>
      <c r="R12" s="66">
        <f>+C12*'Receita 19_20_21'!Z192</f>
        <v>0</v>
      </c>
      <c r="S12" s="67">
        <f t="shared" si="4"/>
        <v>0</v>
      </c>
      <c r="T12" s="68">
        <f t="shared" si="5"/>
        <v>0</v>
      </c>
      <c r="V12" s="49"/>
      <c r="W12" s="49"/>
      <c r="X12" s="49"/>
      <c r="Y12" s="49"/>
      <c r="Z12" s="49"/>
      <c r="AA12" s="49"/>
      <c r="AB12" s="49"/>
      <c r="AC12" s="50"/>
    </row>
    <row r="13" spans="1:29">
      <c r="A13" s="49"/>
      <c r="B13" s="65" t="s">
        <v>44</v>
      </c>
      <c r="C13" s="66">
        <v>0</v>
      </c>
      <c r="D13" s="66">
        <f>+C13*'Receita 19_20_21'!D193</f>
        <v>0</v>
      </c>
      <c r="E13" s="66">
        <f>+C13*'Receita 19_20_21'!F193</f>
        <v>0</v>
      </c>
      <c r="F13" s="66">
        <f>+C13*'Receita 19_20_21'!H193</f>
        <v>0</v>
      </c>
      <c r="G13" s="67">
        <f t="shared" si="1"/>
        <v>0</v>
      </c>
      <c r="H13" s="66">
        <f>+C13*'Receita 19_20_21'!J193</f>
        <v>0</v>
      </c>
      <c r="I13" s="66">
        <f>+'Cronograma Previsto'!C13*'Receita 19_20_21'!L193</f>
        <v>0</v>
      </c>
      <c r="J13" s="66">
        <f>+C13*'Receita 19_20_21'!N193</f>
        <v>0</v>
      </c>
      <c r="K13" s="67">
        <f t="shared" si="2"/>
        <v>0</v>
      </c>
      <c r="L13" s="66">
        <f>+C13*'Receita 19_20_21'!P193</f>
        <v>0</v>
      </c>
      <c r="M13" s="66">
        <f>+C13*'Receita 19_20_21'!R193</f>
        <v>0</v>
      </c>
      <c r="N13" s="66">
        <f>+C13*'Receita 19_20_21'!T193</f>
        <v>0</v>
      </c>
      <c r="O13" s="67">
        <f t="shared" si="3"/>
        <v>0</v>
      </c>
      <c r="P13" s="66">
        <f>+C13*'Receita 19_20_21'!V193</f>
        <v>0</v>
      </c>
      <c r="Q13" s="66">
        <f>+C13*'Receita 19_20_21'!X193</f>
        <v>0</v>
      </c>
      <c r="R13" s="66">
        <f>+C13*'Receita 19_20_21'!Z193</f>
        <v>0</v>
      </c>
      <c r="S13" s="67">
        <f t="shared" si="4"/>
        <v>0</v>
      </c>
      <c r="T13" s="68">
        <f t="shared" si="5"/>
        <v>0</v>
      </c>
      <c r="V13" s="49"/>
      <c r="W13" s="49"/>
      <c r="X13" s="49"/>
      <c r="Y13" s="49"/>
      <c r="Z13" s="49"/>
      <c r="AA13" s="49"/>
      <c r="AB13" s="49"/>
      <c r="AC13" s="50"/>
    </row>
    <row r="14" spans="1:29">
      <c r="A14" s="49"/>
      <c r="B14" s="65" t="s">
        <v>45</v>
      </c>
      <c r="C14" s="66">
        <v>28059723.600000001</v>
      </c>
      <c r="D14" s="66">
        <f>+C14*'Receita 19_20_21'!D194</f>
        <v>3822937.6074008648</v>
      </c>
      <c r="E14" s="66">
        <f>+C14*'Receita 19_20_21'!F194</f>
        <v>3260345.0452821054</v>
      </c>
      <c r="F14" s="66">
        <f>+C14*'Receita 19_20_21'!H194</f>
        <v>3413886.0574172414</v>
      </c>
      <c r="G14" s="67">
        <f t="shared" si="1"/>
        <v>10497168.710100211</v>
      </c>
      <c r="H14" s="66">
        <f>+C14*'Receita 19_20_21'!J194</f>
        <v>2277459.8955934686</v>
      </c>
      <c r="I14" s="66">
        <f>+'Cronograma Previsto'!C14*'Receita 19_20_21'!L194</f>
        <v>1752120.2966647008</v>
      </c>
      <c r="J14" s="66">
        <f>+C14*'Receita 19_20_21'!N194</f>
        <v>1458422.4165701722</v>
      </c>
      <c r="K14" s="67">
        <f t="shared" si="2"/>
        <v>5488002.6088283416</v>
      </c>
      <c r="L14" s="66">
        <f>+C14*'Receita 19_20_21'!P194</f>
        <v>1955002.7843114203</v>
      </c>
      <c r="M14" s="66">
        <f>+C14*'Receita 19_20_21'!R194</f>
        <v>2129777.8757120878</v>
      </c>
      <c r="N14" s="66">
        <f>+C14*'Receita 19_20_21'!T194</f>
        <v>1998548.8697257075</v>
      </c>
      <c r="O14" s="67">
        <f t="shared" si="3"/>
        <v>6083329.5297492156</v>
      </c>
      <c r="P14" s="66">
        <f>+C14*'Receita 19_20_21'!V194</f>
        <v>2297367.6380214556</v>
      </c>
      <c r="Q14" s="66">
        <f>+C14*'Receita 19_20_21'!X194</f>
        <v>1819600.470078005</v>
      </c>
      <c r="R14" s="66">
        <f>+C14*'Receita 19_20_21'!Z194</f>
        <v>1874248.2194861642</v>
      </c>
      <c r="S14" s="67">
        <f t="shared" si="4"/>
        <v>5991216.3275856245</v>
      </c>
      <c r="T14" s="68">
        <f t="shared" si="5"/>
        <v>28059717.176263396</v>
      </c>
      <c r="V14" s="49"/>
      <c r="W14" s="49"/>
      <c r="X14" s="49"/>
      <c r="Y14" s="49"/>
      <c r="Z14" s="49"/>
      <c r="AA14" s="49"/>
      <c r="AB14" s="49"/>
      <c r="AC14" s="50"/>
    </row>
    <row r="15" spans="1:29">
      <c r="A15" s="49"/>
      <c r="B15" s="65" t="s">
        <v>46</v>
      </c>
      <c r="C15" s="66"/>
      <c r="D15" s="66">
        <f>+C15*'Receita 19_20_21'!D195</f>
        <v>0</v>
      </c>
      <c r="E15" s="66">
        <f>+C15*'Receita 19_20_21'!F195</f>
        <v>0</v>
      </c>
      <c r="F15" s="66">
        <v>800000</v>
      </c>
      <c r="G15" s="67">
        <f t="shared" si="1"/>
        <v>800000</v>
      </c>
      <c r="H15" s="66">
        <f>+C15*'Receita 19_20_21'!J195</f>
        <v>0</v>
      </c>
      <c r="I15" s="66">
        <f>+'Cronograma Previsto'!C15*'Receita 19_20_21'!L195</f>
        <v>0</v>
      </c>
      <c r="J15" s="66">
        <f>+C15*'Receita 19_20_21'!N195</f>
        <v>0</v>
      </c>
      <c r="K15" s="67">
        <f t="shared" si="2"/>
        <v>0</v>
      </c>
      <c r="L15" s="66">
        <f>+C15*'Receita 19_20_21'!P195</f>
        <v>0</v>
      </c>
      <c r="M15" s="66">
        <f>+C15*'Receita 19_20_21'!R195</f>
        <v>0</v>
      </c>
      <c r="N15" s="66">
        <f>+C15*'Receita 19_20_21'!T195</f>
        <v>0</v>
      </c>
      <c r="O15" s="67">
        <f t="shared" si="3"/>
        <v>0</v>
      </c>
      <c r="P15" s="66">
        <f>+C15*'Receita 19_20_21'!V195</f>
        <v>0</v>
      </c>
      <c r="Q15" s="66">
        <f>+C15*'Receita 19_20_21'!X195</f>
        <v>0</v>
      </c>
      <c r="R15" s="66">
        <f>+C15*'Receita 19_20_21'!Z195</f>
        <v>0</v>
      </c>
      <c r="S15" s="67">
        <f t="shared" si="4"/>
        <v>0</v>
      </c>
      <c r="T15" s="68">
        <f t="shared" si="5"/>
        <v>800000</v>
      </c>
      <c r="V15" s="49"/>
      <c r="W15" s="49"/>
      <c r="X15" s="49"/>
      <c r="Y15" s="49"/>
      <c r="Z15" s="49"/>
      <c r="AA15" s="49"/>
      <c r="AB15" s="49"/>
      <c r="AC15" s="50"/>
    </row>
    <row r="16" spans="1:29">
      <c r="A16" s="49"/>
      <c r="B16" s="65" t="s">
        <v>35</v>
      </c>
      <c r="C16" s="66">
        <v>23343478.75</v>
      </c>
      <c r="D16" s="66">
        <f>+C16*'Receita 19_20_21'!D196</f>
        <v>2195601.0182965584</v>
      </c>
      <c r="E16" s="66">
        <f>+C16*'Receita 19_20_21'!F196</f>
        <v>1981608.3629248815</v>
      </c>
      <c r="F16" s="66">
        <f>+C16*'Receita 19_20_21'!H196</f>
        <v>1861635.2575048332</v>
      </c>
      <c r="G16" s="67">
        <f t="shared" si="1"/>
        <v>6038844.6387262726</v>
      </c>
      <c r="H16" s="66">
        <f>+C16*'Receita 19_20_21'!J196</f>
        <v>1825207.0465831417</v>
      </c>
      <c r="I16" s="66">
        <f>+'Cronograma Previsto'!C16*'Receita 19_20_21'!L196</f>
        <v>1740377.1907450722</v>
      </c>
      <c r="J16" s="66">
        <f>+C16*'Receita 19_20_21'!N196</f>
        <v>1603403.9432205872</v>
      </c>
      <c r="K16" s="67">
        <f t="shared" si="2"/>
        <v>5168988.1805488011</v>
      </c>
      <c r="L16" s="66">
        <f>+C16*'Receita 19_20_21'!P196</f>
        <v>1704695.964824639</v>
      </c>
      <c r="M16" s="66">
        <f>+C16*'Receita 19_20_21'!R196</f>
        <v>1740434.896953922</v>
      </c>
      <c r="N16" s="66">
        <f>+C16*'Receita 19_20_21'!T196</f>
        <v>1805884.2379921193</v>
      </c>
      <c r="O16" s="67">
        <f t="shared" si="3"/>
        <v>5251015.0997706801</v>
      </c>
      <c r="P16" s="66">
        <f>+C16*'Receita 19_20_21'!V196</f>
        <v>2293470.4566257428</v>
      </c>
      <c r="Q16" s="66">
        <f>+C16*'Receita 19_20_21'!X196</f>
        <v>1797448.623813479</v>
      </c>
      <c r="R16" s="66">
        <f>+C16*'Receita 19_20_21'!Z196</f>
        <v>2793716.7835771437</v>
      </c>
      <c r="S16" s="67">
        <f t="shared" si="4"/>
        <v>6884635.8640163653</v>
      </c>
      <c r="T16" s="68">
        <f t="shared" si="5"/>
        <v>23343483.783062123</v>
      </c>
      <c r="V16" s="49"/>
      <c r="W16" s="49"/>
      <c r="X16" s="49"/>
      <c r="Y16" s="49"/>
      <c r="Z16" s="49"/>
      <c r="AA16" s="49"/>
      <c r="AB16" s="49"/>
      <c r="AC16" s="50"/>
    </row>
    <row r="17" spans="1:29">
      <c r="A17" s="49"/>
      <c r="B17" s="61" t="s">
        <v>29</v>
      </c>
      <c r="C17" s="62">
        <f>SUM(C19:C22)</f>
        <v>0</v>
      </c>
      <c r="D17" s="62"/>
      <c r="E17" s="62"/>
      <c r="F17" s="62"/>
      <c r="G17" s="63"/>
      <c r="H17" s="62"/>
      <c r="I17" s="62"/>
      <c r="J17" s="62"/>
      <c r="K17" s="63"/>
      <c r="L17" s="62"/>
      <c r="M17" s="62"/>
      <c r="N17" s="62"/>
      <c r="O17" s="63"/>
      <c r="P17" s="62"/>
      <c r="Q17" s="62"/>
      <c r="R17" s="62"/>
      <c r="S17" s="63"/>
      <c r="T17" s="64"/>
      <c r="V17" s="49"/>
      <c r="W17" s="49"/>
      <c r="X17" s="49"/>
      <c r="Y17" s="49"/>
      <c r="Z17" s="49"/>
      <c r="AA17" s="49"/>
      <c r="AB17" s="49"/>
      <c r="AC17" s="50"/>
    </row>
    <row r="18" spans="1:29">
      <c r="A18" s="49"/>
      <c r="B18" s="65" t="s">
        <v>47</v>
      </c>
      <c r="C18" s="66">
        <v>0</v>
      </c>
      <c r="D18" s="66"/>
      <c r="E18" s="66"/>
      <c r="F18" s="66"/>
      <c r="G18" s="67"/>
      <c r="H18" s="66"/>
      <c r="I18" s="66"/>
      <c r="J18" s="66"/>
      <c r="K18" s="67"/>
      <c r="L18" s="66"/>
      <c r="M18" s="66"/>
      <c r="N18" s="66"/>
      <c r="O18" s="67"/>
      <c r="P18" s="66"/>
      <c r="Q18" s="66"/>
      <c r="R18" s="66"/>
      <c r="S18" s="67"/>
      <c r="T18" s="68"/>
      <c r="V18" s="49"/>
      <c r="W18" s="49"/>
      <c r="X18" s="49"/>
      <c r="Y18" s="49"/>
      <c r="Z18" s="49"/>
      <c r="AA18" s="49"/>
      <c r="AB18" s="49"/>
      <c r="AC18" s="50"/>
    </row>
    <row r="19" spans="1:29">
      <c r="A19" s="49"/>
      <c r="B19" s="65" t="s">
        <v>48</v>
      </c>
      <c r="C19" s="66"/>
      <c r="D19" s="66"/>
      <c r="E19" s="66"/>
      <c r="F19" s="66"/>
      <c r="G19" s="67"/>
      <c r="H19" s="66"/>
      <c r="I19" s="66"/>
      <c r="J19" s="66"/>
      <c r="K19" s="67"/>
      <c r="L19" s="66"/>
      <c r="M19" s="66"/>
      <c r="N19" s="66"/>
      <c r="O19" s="67"/>
      <c r="P19" s="66"/>
      <c r="Q19" s="66"/>
      <c r="R19" s="66"/>
      <c r="S19" s="67"/>
      <c r="T19" s="68"/>
      <c r="V19" s="49"/>
      <c r="W19" s="49"/>
      <c r="X19" s="49"/>
      <c r="Y19" s="49"/>
      <c r="Z19" s="49"/>
      <c r="AA19" s="49"/>
      <c r="AB19" s="49"/>
      <c r="AC19" s="50"/>
    </row>
    <row r="20" spans="1:29">
      <c r="A20" s="49"/>
      <c r="B20" s="65" t="s">
        <v>33</v>
      </c>
      <c r="C20" s="66">
        <v>0</v>
      </c>
      <c r="D20" s="66">
        <f>+C20*'Receita 19_20_21'!D200</f>
        <v>0</v>
      </c>
      <c r="E20" s="66">
        <f>+C20*'Receita 19_20_21'!F200</f>
        <v>0</v>
      </c>
      <c r="F20" s="66">
        <f>+C20*'Receita 19_20_21'!H200</f>
        <v>0</v>
      </c>
      <c r="G20" s="67">
        <f>SUM(D20:F20)</f>
        <v>0</v>
      </c>
      <c r="H20" s="66">
        <f>+C20*'Receita 19_20_21'!J200</f>
        <v>0</v>
      </c>
      <c r="I20" s="66">
        <f>+C20*'Receita 19_20_21'!L200</f>
        <v>0</v>
      </c>
      <c r="J20" s="66">
        <f>+C20*'Receita 19_20_21'!N200</f>
        <v>0</v>
      </c>
      <c r="K20" s="67">
        <f>SUM(H20:J20)</f>
        <v>0</v>
      </c>
      <c r="L20" s="66">
        <f>+C20*'Receita 19_20_21'!P200</f>
        <v>0</v>
      </c>
      <c r="M20" s="66">
        <f>+C20*'Receita 19_20_21'!R200</f>
        <v>0</v>
      </c>
      <c r="N20" s="66">
        <f>+C20*'Receita 19_20_21'!T200</f>
        <v>0</v>
      </c>
      <c r="O20" s="67">
        <f>SUM(L20:N20)</f>
        <v>0</v>
      </c>
      <c r="P20" s="66">
        <f>+C20*'Receita 19_20_21'!V200</f>
        <v>0</v>
      </c>
      <c r="Q20" s="66">
        <f>+C20*'Receita 19_20_21'!X200</f>
        <v>0</v>
      </c>
      <c r="R20" s="66">
        <f>+C20*'Receita 19_20_21'!Z200</f>
        <v>0</v>
      </c>
      <c r="S20" s="67">
        <f>SUM(P20:R20)</f>
        <v>0</v>
      </c>
      <c r="T20" s="68">
        <f>+D20+E20+F20+H20+I20+J20+L20+M20+N20+P20+Q20+R20</f>
        <v>0</v>
      </c>
      <c r="V20" s="49"/>
      <c r="W20" s="49"/>
      <c r="X20" s="49"/>
      <c r="Y20" s="49"/>
      <c r="Z20" s="49"/>
      <c r="AA20" s="49"/>
      <c r="AB20" s="49"/>
      <c r="AC20" s="50"/>
    </row>
    <row r="21" spans="1:29">
      <c r="A21" s="49"/>
      <c r="B21" s="65" t="s">
        <v>49</v>
      </c>
      <c r="C21" s="66">
        <v>0</v>
      </c>
      <c r="D21" s="66">
        <f>+C21*'Receita 19_20_21'!D201</f>
        <v>0</v>
      </c>
      <c r="E21" s="66">
        <f>+C21*'Receita 19_20_21'!F201</f>
        <v>0</v>
      </c>
      <c r="F21" s="66">
        <f>+C21*'Receita 19_20_21'!H201</f>
        <v>0</v>
      </c>
      <c r="G21" s="67">
        <f>SUM(D21:F21)</f>
        <v>0</v>
      </c>
      <c r="H21" s="66">
        <f>+C21*'Receita 19_20_21'!J201</f>
        <v>0</v>
      </c>
      <c r="I21" s="66">
        <f>+C21*'Receita 19_20_21'!L201</f>
        <v>0</v>
      </c>
      <c r="J21" s="66">
        <f>+C21*'Receita 19_20_21'!N201</f>
        <v>0</v>
      </c>
      <c r="K21" s="67">
        <f>SUM(H21:J21)</f>
        <v>0</v>
      </c>
      <c r="L21" s="66">
        <f>+C21*'Receita 19_20_21'!P201</f>
        <v>0</v>
      </c>
      <c r="M21" s="66">
        <f>+C21*'Receita 19_20_21'!R201</f>
        <v>0</v>
      </c>
      <c r="N21" s="66">
        <f>+C21*'Receita 19_20_21'!T201</f>
        <v>0</v>
      </c>
      <c r="O21" s="67">
        <f>SUM(L21:N21)</f>
        <v>0</v>
      </c>
      <c r="P21" s="66">
        <f>+C21*'Receita 19_20_21'!V201</f>
        <v>0</v>
      </c>
      <c r="Q21" s="66">
        <f>+C21*'Receita 19_20_21'!X201</f>
        <v>0</v>
      </c>
      <c r="R21" s="66">
        <f>+C21*'Receita 19_20_21'!Z201</f>
        <v>0</v>
      </c>
      <c r="S21" s="67">
        <f>SUM(P21:R21)</f>
        <v>0</v>
      </c>
      <c r="T21" s="68">
        <f>+D21+E21+F21+H21+I21+J21+L21+M21+N21+P21+Q21+R21</f>
        <v>0</v>
      </c>
      <c r="V21" s="49"/>
      <c r="W21" s="49"/>
      <c r="X21" s="49"/>
      <c r="Y21" s="49"/>
      <c r="Z21" s="49"/>
      <c r="AA21" s="49"/>
      <c r="AB21" s="49"/>
      <c r="AC21" s="50"/>
    </row>
    <row r="22" spans="1:29" ht="12" thickBot="1">
      <c r="A22" s="49"/>
      <c r="B22" s="65" t="s">
        <v>34</v>
      </c>
      <c r="C22" s="66">
        <v>0</v>
      </c>
      <c r="D22" s="66">
        <f>+C22*'Receita 19_20_21'!D202</f>
        <v>0</v>
      </c>
      <c r="E22" s="66">
        <f>+C22*'Receita 19_20_21'!F202</f>
        <v>0</v>
      </c>
      <c r="F22" s="66">
        <f>+C22*'Receita 19_20_21'!H202</f>
        <v>0</v>
      </c>
      <c r="G22" s="67">
        <f>SUM(D22:F22)</f>
        <v>0</v>
      </c>
      <c r="H22" s="66">
        <f>+C22*'Receita 19_20_21'!J202</f>
        <v>0</v>
      </c>
      <c r="I22" s="66">
        <f>+C22*'Receita 19_20_21'!L202</f>
        <v>0</v>
      </c>
      <c r="J22" s="66">
        <f>+C22*'Receita 19_20_21'!N202</f>
        <v>0</v>
      </c>
      <c r="K22" s="67">
        <f>SUM(H22:J22)</f>
        <v>0</v>
      </c>
      <c r="L22" s="66">
        <f>+C22*'Receita 19_20_21'!P202</f>
        <v>0</v>
      </c>
      <c r="M22" s="66">
        <f>+C22*'Receita 19_20_21'!R202</f>
        <v>0</v>
      </c>
      <c r="N22" s="66">
        <f>+C22*'Receita 19_20_21'!T202</f>
        <v>0</v>
      </c>
      <c r="O22" s="67">
        <f>SUM(L22:N22)</f>
        <v>0</v>
      </c>
      <c r="P22" s="66">
        <f>+C22*'Receita 19_20_21'!V202</f>
        <v>0</v>
      </c>
      <c r="Q22" s="66">
        <f>+C22*'Receita 19_20_21'!X202</f>
        <v>0</v>
      </c>
      <c r="R22" s="66">
        <f>+C22*'Receita 19_20_21'!Z202</f>
        <v>0</v>
      </c>
      <c r="S22" s="67">
        <f>SUM(P22:R22)</f>
        <v>0</v>
      </c>
      <c r="T22" s="68">
        <f>+D22+E22+F22+H22+I22+J22+L22+M22+N22+P22+Q22+R22</f>
        <v>0</v>
      </c>
      <c r="V22" s="49"/>
      <c r="W22" s="49"/>
      <c r="X22" s="49"/>
      <c r="Y22" s="49"/>
      <c r="Z22" s="49"/>
      <c r="AA22" s="49"/>
      <c r="AB22" s="49"/>
      <c r="AC22" s="50"/>
    </row>
    <row r="23" spans="1:29" ht="12" thickBot="1">
      <c r="A23" s="49"/>
      <c r="B23" s="69" t="s">
        <v>16</v>
      </c>
      <c r="C23" s="70">
        <f>+C8+C17</f>
        <v>208211049.84999999</v>
      </c>
      <c r="D23" s="71">
        <f t="shared" ref="D23:R23" si="6">+D8+D17</f>
        <v>55130582.60233435</v>
      </c>
      <c r="E23" s="71">
        <f t="shared" si="6"/>
        <v>23279499.229827598</v>
      </c>
      <c r="F23" s="71">
        <f t="shared" si="6"/>
        <v>16900101.484198272</v>
      </c>
      <c r="G23" s="72">
        <f t="shared" si="6"/>
        <v>95310183.31636022</v>
      </c>
      <c r="H23" s="71">
        <f t="shared" si="6"/>
        <v>17447650.18298338</v>
      </c>
      <c r="I23" s="71">
        <f t="shared" si="6"/>
        <v>11909770.291202748</v>
      </c>
      <c r="J23" s="71">
        <f t="shared" si="6"/>
        <v>9851065.1534467377</v>
      </c>
      <c r="K23" s="73">
        <f>+K8+K17</f>
        <v>39208485.627632864</v>
      </c>
      <c r="L23" s="71">
        <f t="shared" si="6"/>
        <v>10610228.477062766</v>
      </c>
      <c r="M23" s="71">
        <f t="shared" si="6"/>
        <v>10017865.890883956</v>
      </c>
      <c r="N23" s="71">
        <f t="shared" si="6"/>
        <v>9495103.9151965212</v>
      </c>
      <c r="O23" s="73">
        <f t="shared" si="6"/>
        <v>30123198.283143245</v>
      </c>
      <c r="P23" s="71">
        <f t="shared" si="6"/>
        <v>10604520.885806594</v>
      </c>
      <c r="Q23" s="71">
        <f t="shared" si="6"/>
        <v>9259906.6662706733</v>
      </c>
      <c r="R23" s="71">
        <f t="shared" si="6"/>
        <v>16504753.680111924</v>
      </c>
      <c r="S23" s="73">
        <f>+S8+S17</f>
        <v>36369181.232189193</v>
      </c>
      <c r="T23" s="74">
        <f>+T8+T17</f>
        <v>201011048.45932555</v>
      </c>
      <c r="V23" s="49"/>
      <c r="W23" s="49"/>
      <c r="X23" s="49"/>
      <c r="Y23" s="49"/>
      <c r="Z23" s="49"/>
      <c r="AA23" s="49"/>
      <c r="AB23" s="49"/>
      <c r="AC23" s="50"/>
    </row>
    <row r="24" spans="1:29" ht="12" thickBot="1">
      <c r="A24" s="49"/>
      <c r="B24" s="75" t="s">
        <v>64</v>
      </c>
      <c r="C24" s="76"/>
      <c r="D24" s="77">
        <f>+D23/$C$23</f>
        <v>0.26478221324973716</v>
      </c>
      <c r="E24" s="77">
        <f t="shared" ref="E24:T24" si="7">+E23/$C$23</f>
        <v>0.11180722275113968</v>
      </c>
      <c r="F24" s="77">
        <f t="shared" si="7"/>
        <v>8.116812962795919E-2</v>
      </c>
      <c r="G24" s="77">
        <f t="shared" si="7"/>
        <v>0.45775756562883602</v>
      </c>
      <c r="H24" s="77">
        <f t="shared" si="7"/>
        <v>8.3797906958122864E-2</v>
      </c>
      <c r="I24" s="77">
        <f t="shared" si="7"/>
        <v>5.7200471827901639E-2</v>
      </c>
      <c r="J24" s="77">
        <f t="shared" si="7"/>
        <v>4.7312883540732688E-2</v>
      </c>
      <c r="K24" s="78">
        <f t="shared" si="7"/>
        <v>0.18831126232675718</v>
      </c>
      <c r="L24" s="77">
        <f t="shared" si="7"/>
        <v>5.095900762570775E-2</v>
      </c>
      <c r="M24" s="77">
        <f t="shared" si="7"/>
        <v>4.8113997302741886E-2</v>
      </c>
      <c r="N24" s="77">
        <f t="shared" si="7"/>
        <v>4.560326611885878E-2</v>
      </c>
      <c r="O24" s="78">
        <f t="shared" si="7"/>
        <v>0.14467627104730843</v>
      </c>
      <c r="P24" s="77">
        <f t="shared" si="7"/>
        <v>5.0931595097600889E-2</v>
      </c>
      <c r="Q24" s="77">
        <f t="shared" si="7"/>
        <v>4.4473656287414724E-2</v>
      </c>
      <c r="R24" s="77">
        <f t="shared" si="7"/>
        <v>7.926934565673785E-2</v>
      </c>
      <c r="S24" s="78">
        <f t="shared" si="7"/>
        <v>0.17467459704175348</v>
      </c>
      <c r="T24" s="79">
        <f t="shared" si="7"/>
        <v>0.96541969604465527</v>
      </c>
      <c r="V24" s="49"/>
      <c r="W24" s="49"/>
      <c r="X24" s="49"/>
      <c r="Y24" s="49"/>
      <c r="Z24" s="49"/>
      <c r="AA24" s="49"/>
      <c r="AB24" s="49"/>
      <c r="AC24" s="50"/>
    </row>
    <row r="25" spans="1:29" ht="12" thickBot="1">
      <c r="A25" s="49"/>
      <c r="B25" s="80"/>
      <c r="C25" s="81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49"/>
      <c r="W25" s="49"/>
      <c r="X25" s="49"/>
      <c r="Y25" s="49"/>
      <c r="Z25" s="49"/>
      <c r="AA25" s="49"/>
      <c r="AB25" s="49"/>
      <c r="AC25" s="50"/>
    </row>
    <row r="26" spans="1:29">
      <c r="A26" s="49"/>
      <c r="B26" s="83" t="s">
        <v>26</v>
      </c>
      <c r="C26" s="84" t="s">
        <v>54</v>
      </c>
      <c r="D26" s="84" t="s">
        <v>2</v>
      </c>
      <c r="E26" s="84" t="s">
        <v>3</v>
      </c>
      <c r="F26" s="84" t="s">
        <v>4</v>
      </c>
      <c r="G26" s="85" t="s">
        <v>61</v>
      </c>
      <c r="H26" s="84" t="s">
        <v>5</v>
      </c>
      <c r="I26" s="84" t="s">
        <v>6</v>
      </c>
      <c r="J26" s="84" t="s">
        <v>7</v>
      </c>
      <c r="K26" s="85" t="s">
        <v>62</v>
      </c>
      <c r="L26" s="84" t="s">
        <v>8</v>
      </c>
      <c r="M26" s="84" t="s">
        <v>9</v>
      </c>
      <c r="N26" s="84" t="s">
        <v>10</v>
      </c>
      <c r="O26" s="85" t="s">
        <v>63</v>
      </c>
      <c r="P26" s="84" t="s">
        <v>11</v>
      </c>
      <c r="Q26" s="84" t="s">
        <v>12</v>
      </c>
      <c r="R26" s="84" t="s">
        <v>13</v>
      </c>
      <c r="S26" s="85" t="s">
        <v>65</v>
      </c>
      <c r="T26" s="84" t="s">
        <v>53</v>
      </c>
      <c r="U26" s="86" t="s">
        <v>36</v>
      </c>
      <c r="V26" s="49"/>
      <c r="W26" s="49"/>
      <c r="X26" s="49"/>
      <c r="Y26" s="49"/>
      <c r="Z26" s="49"/>
      <c r="AA26" s="49"/>
      <c r="AB26" s="49"/>
      <c r="AC26" s="50"/>
    </row>
    <row r="27" spans="1:29">
      <c r="A27" s="49"/>
      <c r="B27" s="61" t="s">
        <v>18</v>
      </c>
      <c r="C27" s="62">
        <f>SUM(C28:C30)</f>
        <v>199350668.44</v>
      </c>
      <c r="D27" s="62">
        <f>SUM(D28:D30)</f>
        <v>25313285.625335589</v>
      </c>
      <c r="E27" s="62">
        <f t="shared" ref="E27:U27" si="8">SUM(E28:E30)</f>
        <v>17445995.431021452</v>
      </c>
      <c r="F27" s="62">
        <f t="shared" si="8"/>
        <v>17658203.058951568</v>
      </c>
      <c r="G27" s="63">
        <f>SUM(G28:G30)</f>
        <v>60417484.115308605</v>
      </c>
      <c r="H27" s="62">
        <f t="shared" si="8"/>
        <v>15521412.735774938</v>
      </c>
      <c r="I27" s="62">
        <f t="shared" si="8"/>
        <v>12710647.541623252</v>
      </c>
      <c r="J27" s="62">
        <f t="shared" si="8"/>
        <v>13537686.953709142</v>
      </c>
      <c r="K27" s="63">
        <f>SUM(K28:K30)</f>
        <v>41769747.231107332</v>
      </c>
      <c r="L27" s="62">
        <f t="shared" si="8"/>
        <v>14846250.160532929</v>
      </c>
      <c r="M27" s="62">
        <f t="shared" si="8"/>
        <v>14059107.846024675</v>
      </c>
      <c r="N27" s="62">
        <f t="shared" si="8"/>
        <v>13712403.773040298</v>
      </c>
      <c r="O27" s="63">
        <f>SUM(O28:O30)</f>
        <v>42617761.779597901</v>
      </c>
      <c r="P27" s="62">
        <f t="shared" si="8"/>
        <v>15155161.344035361</v>
      </c>
      <c r="Q27" s="62">
        <f t="shared" si="8"/>
        <v>14043058.857695777</v>
      </c>
      <c r="R27" s="62">
        <f t="shared" si="8"/>
        <v>25064832.908009075</v>
      </c>
      <c r="S27" s="63">
        <f>SUM(S28:S30)</f>
        <v>54263053.109740213</v>
      </c>
      <c r="T27" s="62">
        <f t="shared" si="8"/>
        <v>12249652.349479707</v>
      </c>
      <c r="U27" s="64">
        <f t="shared" si="8"/>
        <v>211317698.58523375</v>
      </c>
      <c r="V27" s="49"/>
      <c r="W27" s="49"/>
      <c r="X27" s="49"/>
      <c r="Y27" s="49"/>
      <c r="Z27" s="49"/>
      <c r="AA27" s="49"/>
      <c r="AB27" s="49"/>
      <c r="AC27" s="50"/>
    </row>
    <row r="28" spans="1:29">
      <c r="A28" s="49"/>
      <c r="B28" s="87" t="s">
        <v>19</v>
      </c>
      <c r="C28" s="66">
        <v>91444096.409999996</v>
      </c>
      <c r="D28" s="66">
        <f>+C28*'Despesa 19_20_21'!D135</f>
        <v>4809689.193323385</v>
      </c>
      <c r="E28" s="66">
        <f>+C28*'Despesa 19_20_21'!F135</f>
        <v>7284644.1169280577</v>
      </c>
      <c r="F28" s="66">
        <f>+C28*'Despesa 19_20_21'!H135</f>
        <v>7576176.1325341789</v>
      </c>
      <c r="G28" s="67">
        <f>SUM(D28:F28)</f>
        <v>19670509.442785621</v>
      </c>
      <c r="H28" s="66">
        <f>+C28*'Despesa 19_20_21'!J135</f>
        <v>7314637.591923805</v>
      </c>
      <c r="I28" s="66">
        <f>+C28*'Despesa 19_20_21'!L135</f>
        <v>6180216.3477271246</v>
      </c>
      <c r="J28" s="66">
        <f>+C28*'Despesa 19_20_21'!N135</f>
        <v>7400434.4066710593</v>
      </c>
      <c r="K28" s="67">
        <f>SUM(H28:J28)</f>
        <v>20895288.346321989</v>
      </c>
      <c r="L28" s="66">
        <f>+C28*'Despesa 19_20_21'!P135</f>
        <v>7986462.7526489701</v>
      </c>
      <c r="M28" s="66">
        <f>+C28*'Despesa 19_20_21'!R135</f>
        <v>7560662.3368672645</v>
      </c>
      <c r="N28" s="66">
        <f>+C28*'Despesa 19_20_21'!T135</f>
        <v>7360305.8437531292</v>
      </c>
      <c r="O28" s="67">
        <f>SUM(L28:N28)</f>
        <v>22907430.933269363</v>
      </c>
      <c r="P28" s="66">
        <f>+C28*'Despesa 19_20_21'!V135</f>
        <v>8549933.0129901748</v>
      </c>
      <c r="Q28" s="66">
        <f>+C28*'Despesa 19_20_21'!X135</f>
        <v>7801148.883814075</v>
      </c>
      <c r="R28" s="66">
        <f>+C28*'Despesa 19_20_21'!Z135</f>
        <v>13800741.968616614</v>
      </c>
      <c r="S28" s="67">
        <f>SUM(P28:R28)</f>
        <v>30151823.865420863</v>
      </c>
      <c r="T28" s="66">
        <f>+C28*'Despesa 19_20_21'!AB135</f>
        <v>3989816.1797806122</v>
      </c>
      <c r="U28" s="68">
        <f>+D28+E28+F28+H28+I28+J28+L28+M28+N28+P28+Q28+R28+T28</f>
        <v>97614868.767578468</v>
      </c>
      <c r="V28" s="49"/>
      <c r="W28" s="49"/>
      <c r="X28" s="49"/>
      <c r="Y28" s="49"/>
      <c r="Z28" s="49"/>
      <c r="AA28" s="49"/>
      <c r="AB28" s="49"/>
      <c r="AC28" s="50"/>
    </row>
    <row r="29" spans="1:29">
      <c r="A29" s="49"/>
      <c r="B29" s="87" t="s">
        <v>20</v>
      </c>
      <c r="C29" s="66">
        <v>0</v>
      </c>
      <c r="D29" s="66">
        <f>+C29*'Despesa 19_20_21'!D136</f>
        <v>0</v>
      </c>
      <c r="E29" s="66">
        <f>+C29*'Despesa 19_20_21'!F136</f>
        <v>0</v>
      </c>
      <c r="F29" s="66">
        <f>+C29*'Despesa 19_20_21'!H136</f>
        <v>0</v>
      </c>
      <c r="G29" s="67">
        <f>SUM(D29:F29)</f>
        <v>0</v>
      </c>
      <c r="H29" s="66">
        <f>+C29*'Despesa 19_20_21'!J136</f>
        <v>0</v>
      </c>
      <c r="I29" s="66">
        <f>+C29*'Despesa 19_20_21'!L136</f>
        <v>0</v>
      </c>
      <c r="J29" s="66">
        <f>+C29*'Despesa 19_20_21'!N136</f>
        <v>0</v>
      </c>
      <c r="K29" s="67">
        <f>SUM(H29:J29)</f>
        <v>0</v>
      </c>
      <c r="L29" s="66">
        <f>+C29*'Despesa 19_20_21'!P136</f>
        <v>0</v>
      </c>
      <c r="M29" s="66">
        <f>+C29*'Despesa 19_20_21'!R136</f>
        <v>0</v>
      </c>
      <c r="N29" s="66">
        <f>+C29*'Despesa 19_20_21'!T136</f>
        <v>0</v>
      </c>
      <c r="O29" s="67">
        <f>SUM(L29:N29)</f>
        <v>0</v>
      </c>
      <c r="P29" s="66">
        <f>+C29*'Despesa 19_20_21'!V136</f>
        <v>0</v>
      </c>
      <c r="Q29" s="66">
        <f>+C29*'Despesa 19_20_21'!X136</f>
        <v>0</v>
      </c>
      <c r="R29" s="66">
        <f>+C29*'Despesa 19_20_21'!Z136</f>
        <v>0</v>
      </c>
      <c r="S29" s="67">
        <f>SUM(P29:R29)</f>
        <v>0</v>
      </c>
      <c r="T29" s="66">
        <f>+C29*'Despesa 19_20_21'!AB136</f>
        <v>0</v>
      </c>
      <c r="U29" s="68">
        <f t="shared" ref="U29:U34" si="9">+D29+E29+F29+H29+I29+J29+L29+M29+N29+P29+Q29+R29+T29</f>
        <v>0</v>
      </c>
      <c r="V29" s="49"/>
      <c r="W29" s="49"/>
      <c r="X29" s="49"/>
      <c r="Y29" s="49"/>
      <c r="Z29" s="49"/>
      <c r="AA29" s="49"/>
      <c r="AB29" s="49"/>
      <c r="AC29" s="50"/>
    </row>
    <row r="30" spans="1:29">
      <c r="A30" s="49"/>
      <c r="B30" s="87" t="s">
        <v>21</v>
      </c>
      <c r="C30" s="66">
        <v>107906572.03</v>
      </c>
      <c r="D30" s="66">
        <f>+C30*'Despesa 19_20_21'!D137</f>
        <v>20503596.432012204</v>
      </c>
      <c r="E30" s="66">
        <f>+C30*'Despesa 19_20_21'!F137</f>
        <v>10161351.314093392</v>
      </c>
      <c r="F30" s="66">
        <f>+C30*'Despesa 19_20_21'!H137</f>
        <v>10082026.92641739</v>
      </c>
      <c r="G30" s="67">
        <f>SUM(D30:F30)</f>
        <v>40746974.672522984</v>
      </c>
      <c r="H30" s="66">
        <f>+C30*'Despesa 19_20_21'!J137</f>
        <v>8206775.1438511331</v>
      </c>
      <c r="I30" s="66">
        <f>+C30*'Despesa 19_20_21'!L137</f>
        <v>6530431.1938961269</v>
      </c>
      <c r="J30" s="66">
        <f>+C30*'Despesa 19_20_21'!N137</f>
        <v>6137252.547038083</v>
      </c>
      <c r="K30" s="67">
        <f>SUM(H30:J30)</f>
        <v>20874458.884785343</v>
      </c>
      <c r="L30" s="66">
        <f>+C30*'Despesa 19_20_21'!P137</f>
        <v>6859787.407883958</v>
      </c>
      <c r="M30" s="66">
        <f>+C30*'Despesa 19_20_21'!R137</f>
        <v>6498445.5091574108</v>
      </c>
      <c r="N30" s="66">
        <f>+C30*'Despesa 19_20_21'!T137</f>
        <v>6352097.9292871682</v>
      </c>
      <c r="O30" s="67">
        <f>SUM(L30:N30)</f>
        <v>19710330.846328538</v>
      </c>
      <c r="P30" s="66">
        <f>+C30*'Despesa 19_20_21'!V137</f>
        <v>6605228.3310451871</v>
      </c>
      <c r="Q30" s="66">
        <f>+C30*'Despesa 19_20_21'!X137</f>
        <v>6241909.9738817029</v>
      </c>
      <c r="R30" s="66">
        <f>+C30*'Despesa 19_20_21'!Z137</f>
        <v>11264090.939392462</v>
      </c>
      <c r="S30" s="67">
        <f>SUM(P30:R30)</f>
        <v>24111229.244319353</v>
      </c>
      <c r="T30" s="66">
        <f>+C30*'Despesa 19_20_21'!AB137</f>
        <v>8259836.1696990943</v>
      </c>
      <c r="U30" s="68">
        <f t="shared" si="9"/>
        <v>113702829.8176553</v>
      </c>
      <c r="V30" s="49"/>
      <c r="W30" s="49"/>
      <c r="X30" s="49"/>
      <c r="Y30" s="49"/>
      <c r="Z30" s="49"/>
      <c r="AA30" s="49"/>
      <c r="AB30" s="49"/>
      <c r="AC30" s="50"/>
    </row>
    <row r="31" spans="1:29">
      <c r="A31" s="49"/>
      <c r="B31" s="61" t="s">
        <v>22</v>
      </c>
      <c r="C31" s="62">
        <f>SUM(C32:C34)</f>
        <v>6629824.0199999996</v>
      </c>
      <c r="D31" s="62">
        <f>SUM(D32:D34)</f>
        <v>0</v>
      </c>
      <c r="E31" s="62">
        <f t="shared" ref="E31:U31" si="10">SUM(E32:E34)</f>
        <v>6810.15780347279</v>
      </c>
      <c r="F31" s="62">
        <f t="shared" si="10"/>
        <v>1690.157345770974</v>
      </c>
      <c r="G31" s="63">
        <f>SUM(G32:G34)</f>
        <v>8500.3151492437646</v>
      </c>
      <c r="H31" s="62">
        <f t="shared" si="10"/>
        <v>1022303.4026341533</v>
      </c>
      <c r="I31" s="62">
        <f t="shared" si="10"/>
        <v>1269715.5998422257</v>
      </c>
      <c r="J31" s="62">
        <f t="shared" si="10"/>
        <v>22512.895845669376</v>
      </c>
      <c r="K31" s="63">
        <f>SUM(K32:K34)</f>
        <v>2314531.8983220481</v>
      </c>
      <c r="L31" s="62">
        <f t="shared" si="10"/>
        <v>1743163.3422869479</v>
      </c>
      <c r="M31" s="62">
        <f t="shared" si="10"/>
        <v>0</v>
      </c>
      <c r="N31" s="62">
        <f t="shared" si="10"/>
        <v>393212.53720680944</v>
      </c>
      <c r="O31" s="63">
        <f>SUM(O32:O34)</f>
        <v>2136375.8794937572</v>
      </c>
      <c r="P31" s="62">
        <f t="shared" si="10"/>
        <v>675489.80161870201</v>
      </c>
      <c r="Q31" s="62">
        <f t="shared" si="10"/>
        <v>316764.70836550993</v>
      </c>
      <c r="R31" s="62">
        <f t="shared" si="10"/>
        <v>1510310.8909995472</v>
      </c>
      <c r="S31" s="63">
        <f>SUM(S32:S34)</f>
        <v>2502565.4009837592</v>
      </c>
      <c r="T31" s="62">
        <f t="shared" si="10"/>
        <v>9772371.493188832</v>
      </c>
      <c r="U31" s="64">
        <f t="shared" si="10"/>
        <v>16734344.98713764</v>
      </c>
      <c r="V31" s="49"/>
      <c r="W31" s="49"/>
      <c r="X31" s="49"/>
      <c r="Y31" s="49"/>
      <c r="Z31" s="49"/>
      <c r="AA31" s="49"/>
      <c r="AB31" s="49"/>
      <c r="AC31" s="50"/>
    </row>
    <row r="32" spans="1:29">
      <c r="A32" s="49"/>
      <c r="B32" s="88" t="s">
        <v>23</v>
      </c>
      <c r="C32" s="66">
        <v>6629824.0199999996</v>
      </c>
      <c r="D32" s="66">
        <f>+C32*'Despesa 19_20_21'!D139</f>
        <v>0</v>
      </c>
      <c r="E32" s="66">
        <f>+C32*'Despesa 19_20_21'!F139</f>
        <v>6810.15780347279</v>
      </c>
      <c r="F32" s="66">
        <f>+C32*'Despesa 19_20_21'!H139</f>
        <v>1690.157345770974</v>
      </c>
      <c r="G32" s="67">
        <f>SUM(D32:F32)</f>
        <v>8500.3151492437646</v>
      </c>
      <c r="H32" s="66">
        <f>+C32*'Despesa 19_20_21'!J139</f>
        <v>1022303.4026341533</v>
      </c>
      <c r="I32" s="66">
        <f>+C32*'Despesa 19_20_21'!L139</f>
        <v>1269715.5998422257</v>
      </c>
      <c r="J32" s="66">
        <f>+C32*'Despesa 19_20_21'!N139</f>
        <v>22512.895845669376</v>
      </c>
      <c r="K32" s="67">
        <f>SUM(H32:J32)</f>
        <v>2314531.8983220481</v>
      </c>
      <c r="L32" s="66">
        <f>+C32*'Despesa 19_20_21'!P139</f>
        <v>1743163.3422869479</v>
      </c>
      <c r="M32" s="66">
        <f>+C32*'Despesa 19_20_21'!R139</f>
        <v>0</v>
      </c>
      <c r="N32" s="66">
        <f>+C32*'Despesa 19_20_21'!T139</f>
        <v>393212.53720680944</v>
      </c>
      <c r="O32" s="67">
        <f>SUM(L32:N32)</f>
        <v>2136375.8794937572</v>
      </c>
      <c r="P32" s="66">
        <f>+C32*'Despesa 19_20_21'!V139</f>
        <v>675489.80161870201</v>
      </c>
      <c r="Q32" s="66">
        <f>+C32*'Despesa 19_20_21'!X139</f>
        <v>316764.70836550993</v>
      </c>
      <c r="R32" s="66">
        <f>+C32*'Despesa 19_20_21'!Z139</f>
        <v>1510310.8909995472</v>
      </c>
      <c r="S32" s="67">
        <f>SUM(P32:R32)</f>
        <v>2502565.4009837592</v>
      </c>
      <c r="T32" s="66">
        <f>+C32*'Despesa 19_20_21'!AB139</f>
        <v>9772371.493188832</v>
      </c>
      <c r="U32" s="68">
        <f t="shared" si="9"/>
        <v>16734344.98713764</v>
      </c>
      <c r="V32" s="49"/>
      <c r="W32" s="49"/>
      <c r="X32" s="49"/>
      <c r="Y32" s="49"/>
      <c r="Z32" s="49"/>
      <c r="AA32" s="49"/>
      <c r="AB32" s="49"/>
      <c r="AC32" s="50"/>
    </row>
    <row r="33" spans="1:29">
      <c r="A33" s="49"/>
      <c r="B33" s="87" t="s">
        <v>24</v>
      </c>
      <c r="C33" s="66">
        <v>0</v>
      </c>
      <c r="D33" s="66">
        <f>+C33*'Despesa 19_20_21'!D140</f>
        <v>0</v>
      </c>
      <c r="E33" s="66">
        <f>+C33*'Despesa 19_20_21'!F140</f>
        <v>0</v>
      </c>
      <c r="F33" s="66">
        <f>+C33*'Despesa 19_20_21'!H140</f>
        <v>0</v>
      </c>
      <c r="G33" s="67">
        <f>SUM(D33:F33)</f>
        <v>0</v>
      </c>
      <c r="H33" s="66">
        <f>+C33*'Despesa 19_20_21'!J140</f>
        <v>0</v>
      </c>
      <c r="I33" s="66">
        <f>+C33*'Despesa 19_20_21'!L140</f>
        <v>0</v>
      </c>
      <c r="J33" s="66">
        <f>+C33*'Despesa 19_20_21'!N140</f>
        <v>0</v>
      </c>
      <c r="K33" s="67">
        <f>SUM(H33:J33)</f>
        <v>0</v>
      </c>
      <c r="L33" s="66">
        <f>+C33*'Despesa 19_20_21'!P140</f>
        <v>0</v>
      </c>
      <c r="M33" s="66">
        <f>+C33*'Despesa 19_20_21'!R140</f>
        <v>0</v>
      </c>
      <c r="N33" s="66">
        <f>+C33*'Despesa 19_20_21'!T140</f>
        <v>0</v>
      </c>
      <c r="O33" s="67">
        <f>SUM(L33:N33)</f>
        <v>0</v>
      </c>
      <c r="P33" s="66">
        <f>+C33*'Despesa 19_20_21'!V140</f>
        <v>0</v>
      </c>
      <c r="Q33" s="66">
        <f>+C33*'Despesa 19_20_21'!X140</f>
        <v>0</v>
      </c>
      <c r="R33" s="66">
        <f>+C33*'Despesa 19_20_21'!Z140</f>
        <v>0</v>
      </c>
      <c r="S33" s="67">
        <f>SUM(P33:R33)</f>
        <v>0</v>
      </c>
      <c r="T33" s="66">
        <f>+C33*'Despesa 19_20_21'!AB140</f>
        <v>0</v>
      </c>
      <c r="U33" s="68">
        <f t="shared" si="9"/>
        <v>0</v>
      </c>
      <c r="V33" s="49"/>
      <c r="W33" s="49"/>
      <c r="X33" s="49"/>
      <c r="Y33" s="49"/>
      <c r="Z33" s="49"/>
      <c r="AA33" s="49"/>
      <c r="AB33" s="49"/>
      <c r="AC33" s="50"/>
    </row>
    <row r="34" spans="1:29" ht="12" thickBot="1">
      <c r="A34" s="49"/>
      <c r="B34" s="87" t="s">
        <v>25</v>
      </c>
      <c r="C34" s="66">
        <v>0</v>
      </c>
      <c r="D34" s="66">
        <f>+C34*'Despesa 19_20_21'!D141</f>
        <v>0</v>
      </c>
      <c r="E34" s="66">
        <f>+C34*'Despesa 19_20_21'!F141</f>
        <v>0</v>
      </c>
      <c r="F34" s="66">
        <f>+C34*'Despesa 19_20_21'!H141</f>
        <v>0</v>
      </c>
      <c r="G34" s="67">
        <f>SUM(D34:F34)</f>
        <v>0</v>
      </c>
      <c r="H34" s="66">
        <f>+C34*'Despesa 19_20_21'!J141</f>
        <v>0</v>
      </c>
      <c r="I34" s="66">
        <f>+C34*'Despesa 19_20_21'!L141</f>
        <v>0</v>
      </c>
      <c r="J34" s="66">
        <f>+C34*'Despesa 19_20_21'!N141</f>
        <v>0</v>
      </c>
      <c r="K34" s="67">
        <f>SUM(H34:J34)</f>
        <v>0</v>
      </c>
      <c r="L34" s="66">
        <f>+C34*'Despesa 19_20_21'!P141</f>
        <v>0</v>
      </c>
      <c r="M34" s="66">
        <f>+C34*'Despesa 19_20_21'!R141</f>
        <v>0</v>
      </c>
      <c r="N34" s="66">
        <f>+C34*'Despesa 19_20_21'!T141</f>
        <v>0</v>
      </c>
      <c r="O34" s="67">
        <f>SUM(L34:N34)</f>
        <v>0</v>
      </c>
      <c r="P34" s="66">
        <f>+C34*'Despesa 19_20_21'!V141</f>
        <v>0</v>
      </c>
      <c r="Q34" s="66">
        <f>+C34*'Despesa 19_20_21'!X141</f>
        <v>0</v>
      </c>
      <c r="R34" s="66">
        <f>+C34*'Despesa 19_20_21'!Z141</f>
        <v>0</v>
      </c>
      <c r="S34" s="67">
        <f>SUM(P34:R34)</f>
        <v>0</v>
      </c>
      <c r="T34" s="66">
        <f>+C34*'Despesa 19_20_21'!AB141</f>
        <v>0</v>
      </c>
      <c r="U34" s="68">
        <f t="shared" si="9"/>
        <v>0</v>
      </c>
      <c r="V34" s="49"/>
      <c r="W34" s="49"/>
      <c r="X34" s="49"/>
      <c r="Y34" s="49"/>
      <c r="Z34" s="49"/>
      <c r="AA34" s="49"/>
      <c r="AB34" s="49"/>
      <c r="AC34" s="50"/>
    </row>
    <row r="35" spans="1:29" ht="12" thickBot="1">
      <c r="A35" s="49"/>
      <c r="B35" s="69" t="s">
        <v>17</v>
      </c>
      <c r="C35" s="89">
        <f>+C27+C31</f>
        <v>205980492.46000001</v>
      </c>
      <c r="D35" s="71">
        <f>+D27+D31</f>
        <v>25313285.625335589</v>
      </c>
      <c r="E35" s="71">
        <f t="shared" ref="E35:U35" si="11">+E27+E31</f>
        <v>17452805.588824924</v>
      </c>
      <c r="F35" s="71">
        <f t="shared" si="11"/>
        <v>17659893.21629734</v>
      </c>
      <c r="G35" s="73">
        <f t="shared" si="11"/>
        <v>60425984.430457845</v>
      </c>
      <c r="H35" s="71">
        <f t="shared" si="11"/>
        <v>16543716.138409091</v>
      </c>
      <c r="I35" s="71">
        <f t="shared" si="11"/>
        <v>13980363.141465478</v>
      </c>
      <c r="J35" s="71">
        <f t="shared" si="11"/>
        <v>13560199.849554813</v>
      </c>
      <c r="K35" s="73">
        <f>+K27+K31</f>
        <v>44084279.129429378</v>
      </c>
      <c r="L35" s="71">
        <f t="shared" si="11"/>
        <v>16589413.502819877</v>
      </c>
      <c r="M35" s="71">
        <f t="shared" si="11"/>
        <v>14059107.846024675</v>
      </c>
      <c r="N35" s="71">
        <f t="shared" si="11"/>
        <v>14105616.310247108</v>
      </c>
      <c r="O35" s="73">
        <f t="shared" si="11"/>
        <v>44754137.659091659</v>
      </c>
      <c r="P35" s="71">
        <f t="shared" si="11"/>
        <v>15830651.145654064</v>
      </c>
      <c r="Q35" s="71">
        <f t="shared" si="11"/>
        <v>14359823.566061286</v>
      </c>
      <c r="R35" s="71">
        <f t="shared" si="11"/>
        <v>26575143.799008623</v>
      </c>
      <c r="S35" s="73">
        <f>+S27+S31</f>
        <v>56765618.510723971</v>
      </c>
      <c r="T35" s="71">
        <f t="shared" si="11"/>
        <v>22022023.842668541</v>
      </c>
      <c r="U35" s="90">
        <f t="shared" si="11"/>
        <v>228052043.57237139</v>
      </c>
      <c r="V35" s="49"/>
      <c r="W35" s="49"/>
      <c r="X35" s="49"/>
      <c r="Y35" s="49"/>
      <c r="Z35" s="49"/>
      <c r="AA35" s="49"/>
      <c r="AB35" s="49"/>
      <c r="AC35" s="50"/>
    </row>
    <row r="36" spans="1:29" ht="12" thickBot="1">
      <c r="A36" s="49"/>
      <c r="B36" s="75" t="s">
        <v>64</v>
      </c>
      <c r="C36" s="91"/>
      <c r="D36" s="77">
        <f>+D35/$C$35</f>
        <v>0.12289166475437598</v>
      </c>
      <c r="E36" s="77">
        <f t="shared" ref="E36:U36" si="12">+E35/$C$35</f>
        <v>8.4730380922912588E-2</v>
      </c>
      <c r="F36" s="77">
        <f t="shared" si="12"/>
        <v>8.5735755873711045E-2</v>
      </c>
      <c r="G36" s="78">
        <f t="shared" si="12"/>
        <v>0.29335780155099955</v>
      </c>
      <c r="H36" s="77">
        <f t="shared" si="12"/>
        <v>8.0316907396567022E-2</v>
      </c>
      <c r="I36" s="77">
        <f t="shared" si="12"/>
        <v>6.7872267778854675E-2</v>
      </c>
      <c r="J36" s="77">
        <f t="shared" si="12"/>
        <v>6.5832446983726436E-2</v>
      </c>
      <c r="K36" s="78">
        <f t="shared" si="12"/>
        <v>0.21402162215914811</v>
      </c>
      <c r="L36" s="77">
        <f t="shared" si="12"/>
        <v>8.0538760271395254E-2</v>
      </c>
      <c r="M36" s="77">
        <f t="shared" si="12"/>
        <v>6.8254559828061667E-2</v>
      </c>
      <c r="N36" s="77">
        <f t="shared" si="12"/>
        <v>6.8480350453508712E-2</v>
      </c>
      <c r="O36" s="78">
        <f t="shared" si="12"/>
        <v>0.21727367055296562</v>
      </c>
      <c r="P36" s="77">
        <f t="shared" si="12"/>
        <v>7.6855099027051149E-2</v>
      </c>
      <c r="Q36" s="77">
        <f t="shared" si="12"/>
        <v>6.9714483126842045E-2</v>
      </c>
      <c r="R36" s="77">
        <f t="shared" si="12"/>
        <v>0.12901776999183226</v>
      </c>
      <c r="S36" s="78">
        <f t="shared" si="12"/>
        <v>0.27558735214572544</v>
      </c>
      <c r="T36" s="77">
        <f t="shared" si="12"/>
        <v>0.10691315269549162</v>
      </c>
      <c r="U36" s="79">
        <f t="shared" si="12"/>
        <v>1.1071535991043304</v>
      </c>
      <c r="V36" s="49"/>
      <c r="W36" s="49"/>
      <c r="X36" s="49"/>
      <c r="Y36" s="49"/>
      <c r="Z36" s="49"/>
      <c r="AA36" s="49"/>
      <c r="AB36" s="49"/>
      <c r="AC36" s="50"/>
    </row>
    <row r="37" spans="1:29" ht="12" thickBot="1">
      <c r="A37" s="49"/>
      <c r="B37" s="92"/>
      <c r="C37" s="92"/>
      <c r="D37" s="92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50"/>
    </row>
    <row r="38" spans="1:29" ht="12" thickBot="1">
      <c r="A38" s="49"/>
      <c r="B38" s="69" t="s">
        <v>66</v>
      </c>
      <c r="C38" s="89"/>
      <c r="D38" s="71">
        <f>+D23-D35</f>
        <v>29817296.976998761</v>
      </c>
      <c r="E38" s="71">
        <f>+D38+E23-E35</f>
        <v>35643990.618001431</v>
      </c>
      <c r="F38" s="71">
        <f t="shared" ref="F38:R38" si="13">+E38+F23-F35</f>
        <v>34884198.88590236</v>
      </c>
      <c r="G38" s="73">
        <f>+G23-G35</f>
        <v>34884198.885902375</v>
      </c>
      <c r="H38" s="71">
        <f>+F38+H23-H35</f>
        <v>35788132.930476651</v>
      </c>
      <c r="I38" s="71">
        <f t="shared" si="13"/>
        <v>33717540.080213919</v>
      </c>
      <c r="J38" s="71">
        <f t="shared" si="13"/>
        <v>30008405.384105839</v>
      </c>
      <c r="K38" s="73">
        <f>+G38+K23-K35</f>
        <v>30008405.384105854</v>
      </c>
      <c r="L38" s="71">
        <f>+J38+L23-L35</f>
        <v>24029220.358348731</v>
      </c>
      <c r="M38" s="71">
        <f t="shared" si="13"/>
        <v>19987978.40320801</v>
      </c>
      <c r="N38" s="71">
        <f t="shared" si="13"/>
        <v>15377466.008157425</v>
      </c>
      <c r="O38" s="73">
        <f>+K38+O23-O35</f>
        <v>15377466.00815744</v>
      </c>
      <c r="P38" s="71">
        <f>+N38+P23-P35</f>
        <v>10151335.748309955</v>
      </c>
      <c r="Q38" s="71">
        <f t="shared" si="13"/>
        <v>5051418.848519342</v>
      </c>
      <c r="R38" s="71">
        <f t="shared" si="13"/>
        <v>-5018971.2703773566</v>
      </c>
      <c r="S38" s="73">
        <f>+O38+S23-S35</f>
        <v>-5018971.2703773379</v>
      </c>
      <c r="T38" s="74">
        <f>+R38-T35</f>
        <v>-27040995.113045897</v>
      </c>
      <c r="U38" s="82"/>
      <c r="V38" s="49"/>
      <c r="W38" s="49"/>
      <c r="X38" s="49"/>
      <c r="Y38" s="49"/>
      <c r="Z38" s="49"/>
      <c r="AA38" s="49"/>
      <c r="AB38" s="49"/>
      <c r="AC38" s="50"/>
    </row>
    <row r="39" spans="1:29" ht="12" thickBot="1">
      <c r="A39" s="49"/>
      <c r="B39" s="75" t="s">
        <v>64</v>
      </c>
      <c r="C39" s="91"/>
      <c r="D39" s="77">
        <f>+D38/C23</f>
        <v>0.14320708242180147</v>
      </c>
      <c r="E39" s="77">
        <f t="shared" ref="E39:T39" si="14">+E38/$C$23</f>
        <v>0.17119163773334883</v>
      </c>
      <c r="F39" s="77">
        <f t="shared" si="14"/>
        <v>0.16754249551613007</v>
      </c>
      <c r="G39" s="78">
        <f t="shared" si="14"/>
        <v>0.16754249551613015</v>
      </c>
      <c r="H39" s="77">
        <f>+H38/$C$23</f>
        <v>0.17188392717994189</v>
      </c>
      <c r="I39" s="77">
        <f t="shared" si="14"/>
        <v>0.1619392443604929</v>
      </c>
      <c r="J39" s="77">
        <f t="shared" si="14"/>
        <v>0.14412494152315442</v>
      </c>
      <c r="K39" s="78">
        <f t="shared" si="14"/>
        <v>0.1441249415231545</v>
      </c>
      <c r="L39" s="77">
        <f t="shared" si="14"/>
        <v>0.1154079976814868</v>
      </c>
      <c r="M39" s="77">
        <f t="shared" si="14"/>
        <v>9.5998643768463815E-2</v>
      </c>
      <c r="N39" s="77">
        <f t="shared" si="14"/>
        <v>7.3855186932853478E-2</v>
      </c>
      <c r="O39" s="78">
        <f t="shared" si="14"/>
        <v>7.3855186932853548E-2</v>
      </c>
      <c r="P39" s="77">
        <f t="shared" si="14"/>
        <v>4.8755028878742071E-2</v>
      </c>
      <c r="Q39" s="77">
        <f t="shared" si="14"/>
        <v>2.4261050756712959E-2</v>
      </c>
      <c r="R39" s="77">
        <f t="shared" si="14"/>
        <v>-2.4105210909762659E-2</v>
      </c>
      <c r="S39" s="78">
        <f t="shared" si="14"/>
        <v>-2.4105210909762569E-2</v>
      </c>
      <c r="T39" s="79">
        <f t="shared" si="14"/>
        <v>-0.12987300689625669</v>
      </c>
      <c r="U39" s="93"/>
      <c r="V39" s="49"/>
      <c r="W39" s="49"/>
      <c r="X39" s="49"/>
      <c r="Y39" s="49"/>
      <c r="Z39" s="49"/>
      <c r="AA39" s="49"/>
      <c r="AB39" s="49"/>
      <c r="AC39" s="50"/>
    </row>
    <row r="40" spans="1:29">
      <c r="A40" s="49"/>
      <c r="B40" s="92"/>
      <c r="C40" s="94"/>
      <c r="D40" s="92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95"/>
      <c r="V40" s="49"/>
      <c r="W40" s="49"/>
      <c r="X40" s="49"/>
      <c r="Y40" s="49"/>
      <c r="Z40" s="49"/>
      <c r="AA40" s="49"/>
      <c r="AB40" s="49"/>
      <c r="AC40" s="50"/>
    </row>
    <row r="41" spans="1:29">
      <c r="A41" s="49"/>
      <c r="B41" s="92"/>
      <c r="C41" s="94"/>
      <c r="D41" s="92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95"/>
      <c r="V41" s="49"/>
      <c r="W41" s="49"/>
      <c r="X41" s="49"/>
      <c r="Y41" s="49"/>
      <c r="Z41" s="49"/>
      <c r="AA41" s="49"/>
      <c r="AB41" s="49"/>
      <c r="AC41" s="50"/>
    </row>
    <row r="42" spans="1:29">
      <c r="A42" s="49"/>
      <c r="B42" s="49"/>
      <c r="C42" s="95">
        <f>C23-C35</f>
        <v>2230557.3899999857</v>
      </c>
      <c r="D42" s="49"/>
      <c r="E42" s="49"/>
      <c r="F42" s="95"/>
      <c r="G42" s="95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95"/>
      <c r="V42" s="49"/>
      <c r="W42" s="49"/>
      <c r="X42" s="49"/>
      <c r="Y42" s="49"/>
      <c r="Z42" s="49"/>
      <c r="AA42" s="49"/>
      <c r="AB42" s="49"/>
      <c r="AC42" s="50"/>
    </row>
    <row r="43" spans="1:29">
      <c r="A43" s="49"/>
      <c r="B43" s="49"/>
      <c r="C43" s="95"/>
      <c r="D43" s="49"/>
      <c r="E43" s="49"/>
      <c r="F43" s="95"/>
      <c r="G43" s="95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95"/>
      <c r="V43" s="49"/>
      <c r="W43" s="49"/>
      <c r="X43" s="49"/>
      <c r="Y43" s="49"/>
      <c r="Z43" s="49"/>
      <c r="AA43" s="49"/>
      <c r="AB43" s="49"/>
      <c r="AC43" s="50"/>
    </row>
    <row r="44" spans="1:29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50"/>
    </row>
    <row r="45" spans="1:29">
      <c r="A45" s="49"/>
      <c r="B45" s="49"/>
      <c r="C45" s="95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50"/>
    </row>
    <row r="46" spans="1:29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50"/>
    </row>
    <row r="47" spans="1:29">
      <c r="A47" s="49"/>
      <c r="B47" s="49"/>
      <c r="C47" s="49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50"/>
    </row>
    <row r="48" spans="1:29">
      <c r="A48" s="49"/>
      <c r="B48" s="96"/>
      <c r="C48" s="96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97"/>
      <c r="S48" s="97"/>
      <c r="T48" s="97"/>
      <c r="U48" s="97"/>
      <c r="V48" s="97"/>
      <c r="W48" s="97"/>
      <c r="X48" s="97"/>
      <c r="Y48" s="97"/>
      <c r="Z48" s="97"/>
      <c r="AA48" s="98"/>
      <c r="AB48" s="99"/>
      <c r="AC48" s="50"/>
    </row>
    <row r="49" spans="1:29">
      <c r="A49" s="49"/>
      <c r="B49" s="102"/>
      <c r="C49" s="102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1"/>
      <c r="S49" s="101"/>
      <c r="T49" s="101"/>
      <c r="U49" s="101"/>
      <c r="V49" s="101"/>
      <c r="W49" s="101"/>
      <c r="X49" s="101"/>
      <c r="Y49" s="102"/>
      <c r="Z49" s="49"/>
      <c r="AA49" s="49"/>
      <c r="AB49" s="103"/>
      <c r="AC49" s="100"/>
    </row>
    <row r="50" spans="1:29" ht="42.75" customHeight="1">
      <c r="A50" s="104"/>
      <c r="B50" s="102"/>
      <c r="C50" s="102"/>
      <c r="D50" s="281"/>
      <c r="E50" s="282"/>
      <c r="F50" s="282"/>
      <c r="G50" s="282"/>
      <c r="H50" s="109"/>
      <c r="I50" s="281"/>
      <c r="J50" s="282"/>
      <c r="K50" s="282"/>
      <c r="L50" s="282"/>
      <c r="M50" s="110"/>
      <c r="N50" s="281"/>
      <c r="O50" s="282"/>
      <c r="P50" s="282"/>
      <c r="Q50" s="282"/>
      <c r="R50" s="101"/>
      <c r="S50" s="101"/>
      <c r="T50" s="101"/>
      <c r="U50" s="101"/>
      <c r="V50" s="101"/>
      <c r="W50" s="101"/>
      <c r="X50" s="101"/>
      <c r="Y50" s="102"/>
      <c r="Z50" s="49"/>
      <c r="AA50" s="49"/>
      <c r="AB50" s="103"/>
      <c r="AC50" s="100"/>
    </row>
    <row r="51" spans="1:29">
      <c r="A51" s="104"/>
      <c r="B51" s="49"/>
      <c r="C51" s="49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104"/>
    </row>
  </sheetData>
  <sheetProtection selectLockedCells="1" selectUnlockedCells="1"/>
  <mergeCells count="6">
    <mergeCell ref="B2:U2"/>
    <mergeCell ref="B3:U3"/>
    <mergeCell ref="B4:U4"/>
    <mergeCell ref="D50:G50"/>
    <mergeCell ref="I50:L50"/>
    <mergeCell ref="N50:Q50"/>
  </mergeCells>
  <pageMargins left="0.15748031496062992" right="0.15748031496062992" top="0.78740157480314965" bottom="0.78740157480314965" header="0.31496062992125984" footer="0.31496062992125984"/>
  <pageSetup scale="58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AC64"/>
  <sheetViews>
    <sheetView showGridLines="0" zoomScaleNormal="100" workbookViewId="0">
      <selection sqref="A1:IV65536"/>
    </sheetView>
  </sheetViews>
  <sheetFormatPr defaultRowHeight="11.25"/>
  <cols>
    <col min="1" max="1" width="1.5703125" style="51" customWidth="1"/>
    <col min="2" max="2" width="38" style="51" customWidth="1"/>
    <col min="3" max="3" width="14.7109375" style="51" bestFit="1" customWidth="1"/>
    <col min="4" max="4" width="13.5703125" style="51" bestFit="1" customWidth="1"/>
    <col min="5" max="5" width="13.28515625" style="51" bestFit="1" customWidth="1"/>
    <col min="6" max="6" width="13.5703125" style="51" bestFit="1" customWidth="1"/>
    <col min="7" max="7" width="15.28515625" style="51" bestFit="1" customWidth="1"/>
    <col min="8" max="9" width="14.28515625" style="51" bestFit="1" customWidth="1"/>
    <col min="10" max="10" width="13.28515625" style="51" bestFit="1" customWidth="1"/>
    <col min="11" max="19" width="13.5703125" style="51" bestFit="1" customWidth="1"/>
    <col min="20" max="20" width="14.5703125" style="51" bestFit="1" customWidth="1"/>
    <col min="21" max="21" width="14.7109375" style="51" bestFit="1" customWidth="1"/>
    <col min="22" max="24" width="12.85546875" style="51" bestFit="1" customWidth="1"/>
    <col min="25" max="16384" width="9.140625" style="51"/>
  </cols>
  <sheetData>
    <row r="1" spans="1:29" ht="25.5">
      <c r="A1" s="49"/>
      <c r="B1" s="287" t="s">
        <v>55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52"/>
      <c r="W1" s="52"/>
      <c r="X1" s="52"/>
      <c r="Y1" s="52"/>
      <c r="Z1" s="52"/>
      <c r="AA1" s="52"/>
      <c r="AB1" s="53"/>
      <c r="AC1" s="50"/>
    </row>
    <row r="2" spans="1:29" ht="25.5">
      <c r="A2" s="49"/>
      <c r="B2" s="288" t="s">
        <v>94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54"/>
      <c r="W2" s="54"/>
      <c r="X2" s="54"/>
      <c r="Y2" s="54"/>
      <c r="Z2" s="54"/>
      <c r="AA2" s="54"/>
      <c r="AB2" s="55"/>
      <c r="AC2" s="50"/>
    </row>
    <row r="3" spans="1:29" ht="18.75">
      <c r="A3" s="49"/>
      <c r="B3" s="49"/>
      <c r="C3" s="105"/>
      <c r="D3" s="105"/>
      <c r="E3" s="105"/>
      <c r="F3" s="105"/>
      <c r="G3" s="116"/>
      <c r="H3" s="117"/>
      <c r="I3" s="117"/>
      <c r="J3" s="117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54"/>
      <c r="W3" s="54"/>
      <c r="X3" s="54"/>
      <c r="Y3" s="54"/>
      <c r="Z3" s="54"/>
      <c r="AA3" s="54"/>
      <c r="AB3" s="55"/>
      <c r="AC3" s="50"/>
    </row>
    <row r="4" spans="1:29" ht="13.5" thickBot="1">
      <c r="A4" s="49"/>
      <c r="B4" s="119" t="s">
        <v>68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54"/>
      <c r="W4" s="54"/>
      <c r="X4" s="54"/>
      <c r="Y4" s="54"/>
      <c r="Z4" s="54"/>
      <c r="AA4" s="54"/>
      <c r="AB4" s="55"/>
      <c r="AC4" s="50"/>
    </row>
    <row r="5" spans="1:29" ht="12.75">
      <c r="A5" s="49"/>
      <c r="B5" s="121" t="s">
        <v>30</v>
      </c>
      <c r="C5" s="122" t="s">
        <v>54</v>
      </c>
      <c r="D5" s="122" t="s">
        <v>2</v>
      </c>
      <c r="E5" s="122" t="s">
        <v>3</v>
      </c>
      <c r="F5" s="122" t="s">
        <v>4</v>
      </c>
      <c r="G5" s="123" t="s">
        <v>61</v>
      </c>
      <c r="H5" s="122" t="s">
        <v>5</v>
      </c>
      <c r="I5" s="122" t="s">
        <v>6</v>
      </c>
      <c r="J5" s="122" t="s">
        <v>7</v>
      </c>
      <c r="K5" s="123" t="s">
        <v>62</v>
      </c>
      <c r="L5" s="122" t="s">
        <v>8</v>
      </c>
      <c r="M5" s="122" t="s">
        <v>9</v>
      </c>
      <c r="N5" s="122" t="s">
        <v>10</v>
      </c>
      <c r="O5" s="123" t="s">
        <v>63</v>
      </c>
      <c r="P5" s="122" t="s">
        <v>11</v>
      </c>
      <c r="Q5" s="122" t="s">
        <v>12</v>
      </c>
      <c r="R5" s="122" t="s">
        <v>13</v>
      </c>
      <c r="S5" s="123" t="s">
        <v>65</v>
      </c>
      <c r="T5" s="124" t="s">
        <v>36</v>
      </c>
      <c r="U5" s="125"/>
      <c r="V5" s="49"/>
      <c r="W5" s="49"/>
      <c r="X5" s="49"/>
      <c r="Y5" s="49"/>
      <c r="Z5" s="49"/>
      <c r="AA5" s="49"/>
      <c r="AB5" s="49"/>
      <c r="AC5" s="50"/>
    </row>
    <row r="6" spans="1:29" ht="12.75">
      <c r="A6" s="49"/>
      <c r="B6" s="126" t="s">
        <v>28</v>
      </c>
      <c r="C6" s="127">
        <f>SUM(C7:C14)</f>
        <v>208211049.84999999</v>
      </c>
      <c r="D6" s="127">
        <f>SUM(D7:D14)</f>
        <v>41130582.60233435</v>
      </c>
      <c r="E6" s="127">
        <f t="shared" ref="E6:S6" si="0">SUM(E7:E14)</f>
        <v>26279499.229827598</v>
      </c>
      <c r="F6" s="127">
        <f t="shared" si="0"/>
        <v>16000101.484198274</v>
      </c>
      <c r="G6" s="128">
        <f t="shared" si="0"/>
        <v>83410183.31636022</v>
      </c>
      <c r="H6" s="127">
        <f t="shared" si="0"/>
        <v>15047650.18298338</v>
      </c>
      <c r="I6" s="127">
        <f t="shared" si="0"/>
        <v>13409770.291202748</v>
      </c>
      <c r="J6" s="127">
        <f t="shared" si="0"/>
        <v>11851065.153446736</v>
      </c>
      <c r="K6" s="128">
        <f t="shared" si="0"/>
        <v>40308485.627632864</v>
      </c>
      <c r="L6" s="127">
        <f t="shared" si="0"/>
        <v>13110228.477062766</v>
      </c>
      <c r="M6" s="127">
        <f t="shared" si="0"/>
        <v>11517865.890883956</v>
      </c>
      <c r="N6" s="127">
        <f t="shared" si="0"/>
        <v>11495103.915196521</v>
      </c>
      <c r="O6" s="128">
        <f t="shared" si="0"/>
        <v>36123198.283143245</v>
      </c>
      <c r="P6" s="127">
        <f t="shared" si="0"/>
        <v>13604520.885806594</v>
      </c>
      <c r="Q6" s="127">
        <f t="shared" si="0"/>
        <v>14259906.666270675</v>
      </c>
      <c r="R6" s="127">
        <f t="shared" si="0"/>
        <v>20504753.680111926</v>
      </c>
      <c r="S6" s="128">
        <f t="shared" si="0"/>
        <v>48369181.232189193</v>
      </c>
      <c r="T6" s="129">
        <f>SUM(T7:T14)</f>
        <v>208211049.84932557</v>
      </c>
      <c r="U6" s="125"/>
      <c r="V6" s="95"/>
      <c r="W6" s="49"/>
      <c r="X6" s="49"/>
      <c r="Y6" s="49"/>
      <c r="Z6" s="49"/>
      <c r="AA6" s="49"/>
      <c r="AB6" s="49"/>
      <c r="AC6" s="50"/>
    </row>
    <row r="7" spans="1:29" ht="12.75">
      <c r="A7" s="49"/>
      <c r="B7" s="130" t="s">
        <v>42</v>
      </c>
      <c r="C7" s="131">
        <v>0</v>
      </c>
      <c r="D7" s="131">
        <f>+C7*'Receita 19_20_21'!D189</f>
        <v>0</v>
      </c>
      <c r="E7" s="131">
        <f>+C7*'Receita 19_20_21'!F189</f>
        <v>0</v>
      </c>
      <c r="F7" s="131">
        <f>+C7*'Receita 19_20_21'!H189</f>
        <v>0</v>
      </c>
      <c r="G7" s="132">
        <f>SUM(D7:F7)</f>
        <v>0</v>
      </c>
      <c r="H7" s="131">
        <f>+C7*'Receita 19_20_21'!J189</f>
        <v>0</v>
      </c>
      <c r="I7" s="131">
        <f>+'Cronograma Ajustado'!C7*'Receita 19_20_21'!L189</f>
        <v>0</v>
      </c>
      <c r="J7" s="131">
        <f>+C7*'Receita 19_20_21'!N189</f>
        <v>0</v>
      </c>
      <c r="K7" s="132">
        <f>SUM(H7:J7)</f>
        <v>0</v>
      </c>
      <c r="L7" s="131">
        <f>+C7*'Receita 19_20_21'!P189</f>
        <v>0</v>
      </c>
      <c r="M7" s="131">
        <f>+C7*'Receita 19_20_21'!R189</f>
        <v>0</v>
      </c>
      <c r="N7" s="131">
        <f>+C7*'Receita 19_20_21'!T189</f>
        <v>0</v>
      </c>
      <c r="O7" s="132">
        <f>SUM(L7:N7)</f>
        <v>0</v>
      </c>
      <c r="P7" s="131">
        <f>+C7*'Receita 19_20_21'!V189</f>
        <v>0</v>
      </c>
      <c r="Q7" s="131">
        <f>+C7*'Receita 19_20_21'!X189</f>
        <v>0</v>
      </c>
      <c r="R7" s="131">
        <f>+C7*'Receita 19_20_21'!Z189</f>
        <v>0</v>
      </c>
      <c r="S7" s="132">
        <f>SUM(P7:R7)</f>
        <v>0</v>
      </c>
      <c r="T7" s="133">
        <f>+D7+E7+F7+H7+I7+J7+L7+M7+N7+P7+Q7+R7</f>
        <v>0</v>
      </c>
      <c r="U7" s="125"/>
      <c r="V7" s="49"/>
      <c r="W7" s="49"/>
      <c r="X7" s="49"/>
      <c r="Y7" s="49"/>
      <c r="Z7" s="49"/>
      <c r="AA7" s="49"/>
      <c r="AB7" s="49"/>
      <c r="AC7" s="50"/>
    </row>
    <row r="8" spans="1:29" ht="12.75">
      <c r="A8" s="49"/>
      <c r="B8" s="130" t="s">
        <v>31</v>
      </c>
      <c r="C8" s="131">
        <f>'Cronograma Previsto'!C10</f>
        <v>138632104.88</v>
      </c>
      <c r="D8" s="131">
        <f>'Cronograma Previsto'!D10-7000000-7000000</f>
        <v>33628514.288641468</v>
      </c>
      <c r="E8" s="131">
        <f>'Cronograma Previsto'!E10+3000000</f>
        <v>19483427.039783038</v>
      </c>
      <c r="F8" s="131">
        <f>'Cronograma Previsto'!F10</f>
        <v>9066868.9200249389</v>
      </c>
      <c r="G8" s="132">
        <f t="shared" ref="G8:G14" si="1">SUM(D8:F8)</f>
        <v>62178810.248449445</v>
      </c>
      <c r="H8" s="131">
        <f>'Cronograma Previsto'!H10-2500000</f>
        <v>9044892.3163376488</v>
      </c>
      <c r="I8" s="131">
        <f>'Cronograma Previsto'!I10+1500000</f>
        <v>8147584.1821278008</v>
      </c>
      <c r="J8" s="131">
        <f>'Cronograma Previsto'!J10+500000+1500000</f>
        <v>7185422.9001867371</v>
      </c>
      <c r="K8" s="132">
        <f t="shared" ref="K8:K14" si="2">SUM(H8:J8)</f>
        <v>24377899.398652185</v>
      </c>
      <c r="L8" s="131">
        <f>+C8*'Receita 19_20_21'!P190+2500000</f>
        <v>7769543.6564704115</v>
      </c>
      <c r="M8" s="131">
        <f>+C8*'Receita 19_20_21'!R190+1500000</f>
        <v>6121688.8398789708</v>
      </c>
      <c r="N8" s="131">
        <f>+C8*'Receita 19_20_21'!T190+1000000+1000000</f>
        <v>6361694.9508685544</v>
      </c>
      <c r="O8" s="132">
        <f t="shared" ref="O8:O14" si="3">SUM(L8:N8)</f>
        <v>20252927.447217938</v>
      </c>
      <c r="P8" s="131">
        <f>+C8*'Receita 19_20_21'!V190+3000000</f>
        <v>7627153.6470897608</v>
      </c>
      <c r="Q8" s="131">
        <f>+C8*'Receita 19_20_21'!X190+5000000</f>
        <v>9482232.609366551</v>
      </c>
      <c r="R8" s="131">
        <f>+C8*'Receita 19_20_21'!Z190+4000000</f>
        <v>14713081.529224126</v>
      </c>
      <c r="S8" s="132">
        <f t="shared" ref="S8:S14" si="4">SUM(P8:R8)</f>
        <v>31822467.785680436</v>
      </c>
      <c r="T8" s="133">
        <f t="shared" ref="T8:T13" si="5">+D8+E8+F8+H8+I8+J8+L8+M8+N8+P8+Q8+R8</f>
        <v>138632104.88000003</v>
      </c>
      <c r="U8" s="174"/>
      <c r="V8" s="95"/>
      <c r="W8" s="49"/>
      <c r="X8" s="49"/>
      <c r="Y8" s="49"/>
      <c r="Z8" s="49"/>
      <c r="AA8" s="49"/>
      <c r="AB8" s="49"/>
      <c r="AC8" s="50"/>
    </row>
    <row r="9" spans="1:29" ht="12.75">
      <c r="A9" s="49"/>
      <c r="B9" s="130" t="s">
        <v>32</v>
      </c>
      <c r="C9" s="131">
        <f>'Cronograma Previsto'!C11</f>
        <v>18175742.620000001</v>
      </c>
      <c r="D9" s="131">
        <f>C9*'Receita 19_20_21'!D191</f>
        <v>1483529.6879954578</v>
      </c>
      <c r="E9" s="131">
        <f>C9*'Receita 19_20_21'!F191</f>
        <v>1554118.7818375702</v>
      </c>
      <c r="F9" s="131">
        <f>C9*'Receita 19_20_21'!H191-100000</f>
        <v>1657711.2492512588</v>
      </c>
      <c r="G9" s="132">
        <f t="shared" si="1"/>
        <v>4695359.7190842871</v>
      </c>
      <c r="H9" s="131">
        <f>C9*'Receita 19_20_21'!J191+100000</f>
        <v>1900090.9244691206</v>
      </c>
      <c r="I9" s="131">
        <f>C9*'Receita 19_20_21'!L191</f>
        <v>1769688.6216651753</v>
      </c>
      <c r="J9" s="131">
        <f>C9*'Receita 19_20_21'!N191</f>
        <v>1603815.8934692403</v>
      </c>
      <c r="K9" s="132">
        <f t="shared" si="2"/>
        <v>5273595.4396035364</v>
      </c>
      <c r="L9" s="131">
        <f>C9*'Receita 19_20_21'!P191</f>
        <v>1680986.0714562959</v>
      </c>
      <c r="M9" s="131">
        <f>C9*'Receita 19_20_21'!R191</f>
        <v>1525964.2783389755</v>
      </c>
      <c r="N9" s="131">
        <f>C9*'Receita 19_20_21'!T191</f>
        <v>1328975.8566101405</v>
      </c>
      <c r="O9" s="132">
        <f t="shared" si="3"/>
        <v>4535926.2064054124</v>
      </c>
      <c r="P9" s="131">
        <f>C9*'Receita 19_20_21'!V191</f>
        <v>1386529.1440696341</v>
      </c>
      <c r="Q9" s="131">
        <f>C9*'Receita 19_20_21'!X191</f>
        <v>1160624.9630126406</v>
      </c>
      <c r="R9" s="131">
        <f>C9*'Receita 19_20_21'!Z191</f>
        <v>1123707.1478244914</v>
      </c>
      <c r="S9" s="132">
        <f t="shared" si="4"/>
        <v>3670861.2549067661</v>
      </c>
      <c r="T9" s="133">
        <f t="shared" si="5"/>
        <v>18175742.620000001</v>
      </c>
      <c r="U9" s="174"/>
      <c r="V9" s="95"/>
      <c r="W9" s="49"/>
      <c r="X9" s="49"/>
      <c r="Y9" s="49"/>
      <c r="Z9" s="49"/>
      <c r="AA9" s="49"/>
      <c r="AB9" s="49"/>
      <c r="AC9" s="50"/>
    </row>
    <row r="10" spans="1:29" ht="12.75">
      <c r="A10" s="49"/>
      <c r="B10" s="130" t="s">
        <v>43</v>
      </c>
      <c r="C10" s="131">
        <v>0</v>
      </c>
      <c r="D10" s="131">
        <f>+C10*'Receita 19_20_21'!D192</f>
        <v>0</v>
      </c>
      <c r="E10" s="131">
        <f>+C10*'Receita 19_20_21'!F192</f>
        <v>0</v>
      </c>
      <c r="F10" s="131">
        <f>+C10*'Receita 19_20_21'!H192</f>
        <v>0</v>
      </c>
      <c r="G10" s="132">
        <f t="shared" si="1"/>
        <v>0</v>
      </c>
      <c r="H10" s="131">
        <f>+C10*'Receita 19_20_21'!J192</f>
        <v>0</v>
      </c>
      <c r="I10" s="131">
        <f>+'Cronograma Ajustado'!C10*'Receita 19_20_21'!L192</f>
        <v>0</v>
      </c>
      <c r="J10" s="131">
        <f>+C10*'Receita 19_20_21'!N192</f>
        <v>0</v>
      </c>
      <c r="K10" s="132">
        <f t="shared" si="2"/>
        <v>0</v>
      </c>
      <c r="L10" s="131">
        <f>+C10*'Receita 19_20_21'!P192</f>
        <v>0</v>
      </c>
      <c r="M10" s="131">
        <f>+C10*'Receita 19_20_21'!R192</f>
        <v>0</v>
      </c>
      <c r="N10" s="131">
        <f>+C10*'Receita 19_20_21'!T192</f>
        <v>0</v>
      </c>
      <c r="O10" s="132">
        <f t="shared" si="3"/>
        <v>0</v>
      </c>
      <c r="P10" s="131">
        <f>+C10*'Receita 19_20_21'!V192</f>
        <v>0</v>
      </c>
      <c r="Q10" s="131">
        <f>+C10*'Receita 19_20_21'!X192</f>
        <v>0</v>
      </c>
      <c r="R10" s="131">
        <f>+C10*'Receita 19_20_21'!Z192</f>
        <v>0</v>
      </c>
      <c r="S10" s="132">
        <f t="shared" si="4"/>
        <v>0</v>
      </c>
      <c r="T10" s="133">
        <f t="shared" si="5"/>
        <v>0</v>
      </c>
      <c r="U10" s="125"/>
      <c r="V10" s="49"/>
      <c r="W10" s="49"/>
      <c r="X10" s="49"/>
      <c r="Y10" s="49"/>
      <c r="Z10" s="49"/>
      <c r="AA10" s="49"/>
      <c r="AB10" s="49"/>
      <c r="AC10" s="50"/>
    </row>
    <row r="11" spans="1:29" ht="12.75">
      <c r="A11" s="49"/>
      <c r="B11" s="130" t="s">
        <v>44</v>
      </c>
      <c r="C11" s="131">
        <v>0</v>
      </c>
      <c r="D11" s="131">
        <f>+C11*'Receita 19_20_21'!D193</f>
        <v>0</v>
      </c>
      <c r="E11" s="131">
        <f>+C11*'Receita 19_20_21'!F193</f>
        <v>0</v>
      </c>
      <c r="F11" s="131">
        <f>+C11*'Receita 19_20_21'!H193</f>
        <v>0</v>
      </c>
      <c r="G11" s="132">
        <f t="shared" si="1"/>
        <v>0</v>
      </c>
      <c r="H11" s="131">
        <f>+C11*'Receita 19_20_21'!J193</f>
        <v>0</v>
      </c>
      <c r="I11" s="131">
        <f>+'Cronograma Ajustado'!C11*'Receita 19_20_21'!L193</f>
        <v>0</v>
      </c>
      <c r="J11" s="131">
        <f>+C11*'Receita 19_20_21'!N193</f>
        <v>0</v>
      </c>
      <c r="K11" s="132">
        <f t="shared" si="2"/>
        <v>0</v>
      </c>
      <c r="L11" s="131">
        <f>+C11*'Receita 19_20_21'!P193</f>
        <v>0</v>
      </c>
      <c r="M11" s="131">
        <f>+C11*'Receita 19_20_21'!R193</f>
        <v>0</v>
      </c>
      <c r="N11" s="131">
        <f>+C11*'Receita 19_20_21'!T193</f>
        <v>0</v>
      </c>
      <c r="O11" s="132">
        <f t="shared" si="3"/>
        <v>0</v>
      </c>
      <c r="P11" s="131">
        <f>+C11*'Receita 19_20_21'!V193</f>
        <v>0</v>
      </c>
      <c r="Q11" s="131">
        <f>+C11*'Receita 19_20_21'!X193</f>
        <v>0</v>
      </c>
      <c r="R11" s="131">
        <f>+C11*'Receita 19_20_21'!Z193</f>
        <v>0</v>
      </c>
      <c r="S11" s="132">
        <f t="shared" si="4"/>
        <v>0</v>
      </c>
      <c r="T11" s="133">
        <f t="shared" si="5"/>
        <v>0</v>
      </c>
      <c r="U11" s="125"/>
      <c r="V11" s="49"/>
      <c r="W11" s="49"/>
      <c r="X11" s="49"/>
      <c r="Y11" s="49"/>
      <c r="Z11" s="49"/>
      <c r="AA11" s="49"/>
      <c r="AB11" s="49"/>
      <c r="AC11" s="50"/>
    </row>
    <row r="12" spans="1:29" ht="12.75">
      <c r="A12" s="49"/>
      <c r="B12" s="130" t="s">
        <v>45</v>
      </c>
      <c r="C12" s="131">
        <f>'Cronograma Previsto'!C14</f>
        <v>28059723.600000001</v>
      </c>
      <c r="D12" s="131">
        <f>C12*'Receita 19_20_21'!D194</f>
        <v>3822937.6074008648</v>
      </c>
      <c r="E12" s="131">
        <f>C12*'Receita 19_20_21'!F194</f>
        <v>3260345.0452821054</v>
      </c>
      <c r="F12" s="131">
        <f>C12*'Receita 19_20_21'!H194</f>
        <v>3413886.0574172414</v>
      </c>
      <c r="G12" s="132">
        <f t="shared" si="1"/>
        <v>10497168.710100211</v>
      </c>
      <c r="H12" s="131">
        <f>C12*'Receita 19_20_21'!J194</f>
        <v>2277459.8955934686</v>
      </c>
      <c r="I12" s="131">
        <f>C12*'Receita 19_20_21'!L194</f>
        <v>1752120.2966647008</v>
      </c>
      <c r="J12" s="131">
        <f>C12*'Receita 19_20_21'!N194</f>
        <v>1458422.4165701722</v>
      </c>
      <c r="K12" s="132">
        <f t="shared" si="2"/>
        <v>5488002.6088283416</v>
      </c>
      <c r="L12" s="131">
        <f>C12*'Receita 19_20_21'!P194</f>
        <v>1955002.7843114203</v>
      </c>
      <c r="M12" s="131">
        <f>C12*'Receita 19_20_21'!R194</f>
        <v>2129777.8757120878</v>
      </c>
      <c r="N12" s="131">
        <f>C12*'Receita 19_20_21'!T194</f>
        <v>1998548.8697257075</v>
      </c>
      <c r="O12" s="132">
        <f t="shared" si="3"/>
        <v>6083329.5297492156</v>
      </c>
      <c r="P12" s="131">
        <f>C12*'Receita 19_20_21'!V194</f>
        <v>2297367.6380214556</v>
      </c>
      <c r="Q12" s="131">
        <f>C12*'Receita 19_20_21'!X194</f>
        <v>1819600.470078005</v>
      </c>
      <c r="R12" s="131">
        <f>C12*'Receita 19_20_21'!Z194</f>
        <v>1874248.2194861642</v>
      </c>
      <c r="S12" s="132">
        <f t="shared" si="4"/>
        <v>5991216.3275856245</v>
      </c>
      <c r="T12" s="133">
        <f>+D12+E12+F12+H12+I12+J12+L12+M12+N12+P12+Q12+R12+6.42</f>
        <v>28059723.596263397</v>
      </c>
      <c r="U12" s="174"/>
      <c r="V12" s="95"/>
      <c r="W12" s="49"/>
      <c r="X12" s="49"/>
      <c r="Y12" s="49"/>
      <c r="Z12" s="49"/>
      <c r="AA12" s="49"/>
      <c r="AB12" s="49"/>
      <c r="AC12" s="50"/>
    </row>
    <row r="13" spans="1:29" ht="12.75">
      <c r="A13" s="49"/>
      <c r="B13" s="130" t="s">
        <v>46</v>
      </c>
      <c r="C13" s="131">
        <f>'Cronograma Previsto'!C15</f>
        <v>0</v>
      </c>
      <c r="D13" s="131">
        <f>+C13*'Receita 19_20_21'!D195</f>
        <v>0</v>
      </c>
      <c r="E13" s="131">
        <f>+C13*'Receita 19_20_21'!F195</f>
        <v>0</v>
      </c>
      <c r="F13" s="131"/>
      <c r="G13" s="132">
        <f t="shared" si="1"/>
        <v>0</v>
      </c>
      <c r="H13" s="131">
        <f>+C13*'Receita 19_20_21'!J195</f>
        <v>0</v>
      </c>
      <c r="I13" s="131">
        <f>+'Cronograma Ajustado'!C13*'Receita 19_20_21'!L195</f>
        <v>0</v>
      </c>
      <c r="J13" s="131">
        <f>+C13*'Receita 19_20_21'!N195</f>
        <v>0</v>
      </c>
      <c r="K13" s="132">
        <f t="shared" si="2"/>
        <v>0</v>
      </c>
      <c r="L13" s="131">
        <f>+C13*'Receita 19_20_21'!P195</f>
        <v>0</v>
      </c>
      <c r="M13" s="131">
        <f>+C13*'Receita 19_20_21'!R195</f>
        <v>0</v>
      </c>
      <c r="N13" s="131">
        <f>+C13*'Receita 19_20_21'!T195</f>
        <v>0</v>
      </c>
      <c r="O13" s="132">
        <f t="shared" si="3"/>
        <v>0</v>
      </c>
      <c r="P13" s="131">
        <f>+C13*'Receita 19_20_21'!V195</f>
        <v>0</v>
      </c>
      <c r="Q13" s="131">
        <f>+C13*'Receita 19_20_21'!X195</f>
        <v>0</v>
      </c>
      <c r="R13" s="131">
        <f>+C13*'Receita 19_20_21'!Z195</f>
        <v>0</v>
      </c>
      <c r="S13" s="132">
        <f t="shared" si="4"/>
        <v>0</v>
      </c>
      <c r="T13" s="133">
        <f t="shared" si="5"/>
        <v>0</v>
      </c>
      <c r="U13" s="174"/>
      <c r="V13" s="49"/>
      <c r="W13" s="49"/>
      <c r="X13" s="49"/>
      <c r="Y13" s="49"/>
      <c r="Z13" s="49"/>
      <c r="AA13" s="49"/>
      <c r="AB13" s="49"/>
      <c r="AC13" s="50"/>
    </row>
    <row r="14" spans="1:29" ht="12.75">
      <c r="A14" s="49"/>
      <c r="B14" s="130" t="s">
        <v>35</v>
      </c>
      <c r="C14" s="131">
        <f>'Cronograma Previsto'!C16</f>
        <v>23343478.75</v>
      </c>
      <c r="D14" s="131">
        <f>C14*'Receita 19_20_21'!D196</f>
        <v>2195601.0182965584</v>
      </c>
      <c r="E14" s="131">
        <f>C14*'Receita 19_20_21'!F196</f>
        <v>1981608.3629248815</v>
      </c>
      <c r="F14" s="131">
        <f>C14*'Receita 19_20_21'!H196</f>
        <v>1861635.2575048332</v>
      </c>
      <c r="G14" s="132">
        <f t="shared" si="1"/>
        <v>6038844.6387262726</v>
      </c>
      <c r="H14" s="131">
        <f>C14*'Receita 19_20_21'!J196</f>
        <v>1825207.0465831417</v>
      </c>
      <c r="I14" s="131">
        <f>C14*'Receita 19_20_21'!L196</f>
        <v>1740377.1907450722</v>
      </c>
      <c r="J14" s="131">
        <f>C14*'Receita 19_20_21'!N196</f>
        <v>1603403.9432205872</v>
      </c>
      <c r="K14" s="132">
        <f t="shared" si="2"/>
        <v>5168988.1805488011</v>
      </c>
      <c r="L14" s="131">
        <f>C14*'Receita 19_20_21'!P196</f>
        <v>1704695.964824639</v>
      </c>
      <c r="M14" s="131">
        <f>C14*'Receita 19_20_21'!R196</f>
        <v>1740434.896953922</v>
      </c>
      <c r="N14" s="131">
        <f>C14*'Receita 19_20_21'!T196</f>
        <v>1805884.2379921193</v>
      </c>
      <c r="O14" s="132">
        <f t="shared" si="3"/>
        <v>5251015.0997706801</v>
      </c>
      <c r="P14" s="131">
        <f>C14*'Receita 19_20_21'!V196</f>
        <v>2293470.4566257428</v>
      </c>
      <c r="Q14" s="131">
        <f>C14*'Receita 19_20_21'!X196</f>
        <v>1797448.623813479</v>
      </c>
      <c r="R14" s="131">
        <f>C14*'Receita 19_20_21'!Z196</f>
        <v>2793716.7835771437</v>
      </c>
      <c r="S14" s="132">
        <f t="shared" si="4"/>
        <v>6884635.8640163653</v>
      </c>
      <c r="T14" s="133">
        <f>+D14+E14+F14+H14+I14+J14+L14+M14+N14+P14+Q14+R14-5.03</f>
        <v>23343478.753062122</v>
      </c>
      <c r="U14" s="174"/>
      <c r="V14" s="95"/>
      <c r="W14" s="49"/>
      <c r="X14" s="95"/>
      <c r="Y14" s="49"/>
      <c r="Z14" s="49"/>
      <c r="AA14" s="49"/>
      <c r="AB14" s="49"/>
      <c r="AC14" s="50"/>
    </row>
    <row r="15" spans="1:29" ht="12.75">
      <c r="A15" s="49"/>
      <c r="B15" s="126" t="s">
        <v>29</v>
      </c>
      <c r="C15" s="127">
        <f>SUM(C17:C20)</f>
        <v>0</v>
      </c>
      <c r="D15" s="127"/>
      <c r="E15" s="127"/>
      <c r="F15" s="127"/>
      <c r="G15" s="128"/>
      <c r="H15" s="127"/>
      <c r="I15" s="127"/>
      <c r="J15" s="127"/>
      <c r="K15" s="128"/>
      <c r="L15" s="127"/>
      <c r="M15" s="127"/>
      <c r="N15" s="127"/>
      <c r="O15" s="128"/>
      <c r="P15" s="127"/>
      <c r="Q15" s="127"/>
      <c r="R15" s="127"/>
      <c r="S15" s="128"/>
      <c r="T15" s="129"/>
      <c r="U15" s="125"/>
      <c r="V15" s="49"/>
      <c r="W15" s="49"/>
      <c r="X15" s="49"/>
      <c r="Y15" s="49"/>
      <c r="Z15" s="49"/>
      <c r="AA15" s="49"/>
      <c r="AB15" s="49"/>
      <c r="AC15" s="50"/>
    </row>
    <row r="16" spans="1:29" ht="12.75">
      <c r="A16" s="49"/>
      <c r="B16" s="130" t="s">
        <v>47</v>
      </c>
      <c r="C16" s="131">
        <v>0</v>
      </c>
      <c r="D16" s="131"/>
      <c r="E16" s="131"/>
      <c r="F16" s="131"/>
      <c r="G16" s="132"/>
      <c r="H16" s="131"/>
      <c r="I16" s="131"/>
      <c r="J16" s="131"/>
      <c r="K16" s="132"/>
      <c r="L16" s="131"/>
      <c r="M16" s="131"/>
      <c r="N16" s="131"/>
      <c r="O16" s="132"/>
      <c r="P16" s="131"/>
      <c r="Q16" s="131"/>
      <c r="R16" s="131"/>
      <c r="S16" s="132"/>
      <c r="T16" s="133"/>
      <c r="U16" s="125"/>
      <c r="V16" s="49"/>
      <c r="W16" s="49"/>
      <c r="X16" s="49"/>
      <c r="Y16" s="49"/>
      <c r="Z16" s="49"/>
      <c r="AA16" s="49"/>
      <c r="AB16" s="49"/>
      <c r="AC16" s="50"/>
    </row>
    <row r="17" spans="1:29" ht="12.75">
      <c r="A17" s="49"/>
      <c r="B17" s="130" t="s">
        <v>48</v>
      </c>
      <c r="C17" s="131">
        <v>0</v>
      </c>
      <c r="D17" s="131"/>
      <c r="E17" s="131"/>
      <c r="F17" s="131"/>
      <c r="G17" s="132"/>
      <c r="H17" s="131"/>
      <c r="I17" s="131"/>
      <c r="J17" s="131"/>
      <c r="K17" s="132"/>
      <c r="L17" s="131"/>
      <c r="M17" s="131"/>
      <c r="N17" s="131"/>
      <c r="O17" s="132"/>
      <c r="P17" s="131"/>
      <c r="Q17" s="131"/>
      <c r="R17" s="131"/>
      <c r="S17" s="132"/>
      <c r="T17" s="133"/>
      <c r="U17" s="125"/>
      <c r="V17" s="49"/>
      <c r="W17" s="49"/>
      <c r="X17" s="49"/>
      <c r="Y17" s="49"/>
      <c r="Z17" s="49"/>
      <c r="AA17" s="49"/>
      <c r="AB17" s="49"/>
      <c r="AC17" s="50"/>
    </row>
    <row r="18" spans="1:29" ht="12.75">
      <c r="A18" s="49"/>
      <c r="B18" s="130" t="s">
        <v>33</v>
      </c>
      <c r="C18" s="131">
        <v>0</v>
      </c>
      <c r="D18" s="131">
        <f>+C18*'Receita 19_20_21'!D200</f>
        <v>0</v>
      </c>
      <c r="E18" s="131">
        <f>+C18*'Receita 19_20_21'!F200</f>
        <v>0</v>
      </c>
      <c r="F18" s="131">
        <f>+C18*'Receita 19_20_21'!H200</f>
        <v>0</v>
      </c>
      <c r="G18" s="132">
        <f>SUM(D18:F18)</f>
        <v>0</v>
      </c>
      <c r="H18" s="131">
        <f>+C18*'Receita 19_20_21'!J200</f>
        <v>0</v>
      </c>
      <c r="I18" s="131">
        <f>+C18*'Receita 19_20_21'!L200</f>
        <v>0</v>
      </c>
      <c r="J18" s="131">
        <f>+C18*'Receita 19_20_21'!N200</f>
        <v>0</v>
      </c>
      <c r="K18" s="132">
        <f>SUM(H18:J18)</f>
        <v>0</v>
      </c>
      <c r="L18" s="131">
        <f>+C18*'Receita 19_20_21'!P200</f>
        <v>0</v>
      </c>
      <c r="M18" s="131">
        <f>+C18*'Receita 19_20_21'!R200</f>
        <v>0</v>
      </c>
      <c r="N18" s="131">
        <f>+C18*'Receita 19_20_21'!T200</f>
        <v>0</v>
      </c>
      <c r="O18" s="132">
        <f>SUM(L18:N18)</f>
        <v>0</v>
      </c>
      <c r="P18" s="131">
        <f>+C18*'Receita 19_20_21'!V200</f>
        <v>0</v>
      </c>
      <c r="Q18" s="131">
        <f>+C18*'Receita 19_20_21'!X200</f>
        <v>0</v>
      </c>
      <c r="R18" s="131">
        <f>+C18*'Receita 19_20_21'!Z200</f>
        <v>0</v>
      </c>
      <c r="S18" s="132">
        <f>SUM(P18:R18)</f>
        <v>0</v>
      </c>
      <c r="T18" s="133">
        <f>+D18+E18+F18+H18+I18+J18+L18+M18+N18+P18+Q18+R18</f>
        <v>0</v>
      </c>
      <c r="U18" s="125"/>
      <c r="V18" s="49"/>
      <c r="W18" s="49"/>
      <c r="X18" s="49"/>
      <c r="Y18" s="49"/>
      <c r="Z18" s="49"/>
      <c r="AA18" s="49"/>
      <c r="AB18" s="49"/>
      <c r="AC18" s="50"/>
    </row>
    <row r="19" spans="1:29" ht="12.75">
      <c r="A19" s="49"/>
      <c r="B19" s="130" t="s">
        <v>49</v>
      </c>
      <c r="C19" s="131">
        <v>0</v>
      </c>
      <c r="D19" s="131">
        <f>+C19*'Receita 19_20_21'!D201</f>
        <v>0</v>
      </c>
      <c r="E19" s="131">
        <f>+C19*'Receita 19_20_21'!F201</f>
        <v>0</v>
      </c>
      <c r="F19" s="131">
        <f>+C19*'Receita 19_20_21'!H201</f>
        <v>0</v>
      </c>
      <c r="G19" s="132">
        <f>SUM(D19:F19)</f>
        <v>0</v>
      </c>
      <c r="H19" s="131">
        <f>+C19*'Receita 19_20_21'!J201</f>
        <v>0</v>
      </c>
      <c r="I19" s="131">
        <f>+C19*'Receita 19_20_21'!L201</f>
        <v>0</v>
      </c>
      <c r="J19" s="131">
        <f>+C19*'Receita 19_20_21'!N201</f>
        <v>0</v>
      </c>
      <c r="K19" s="132">
        <f>SUM(H19:J19)</f>
        <v>0</v>
      </c>
      <c r="L19" s="131">
        <f>+C19*'Receita 19_20_21'!P201</f>
        <v>0</v>
      </c>
      <c r="M19" s="131">
        <f>+C19*'Receita 19_20_21'!R201</f>
        <v>0</v>
      </c>
      <c r="N19" s="131">
        <f>+C19*'Receita 19_20_21'!T201</f>
        <v>0</v>
      </c>
      <c r="O19" s="132">
        <f>SUM(L19:N19)</f>
        <v>0</v>
      </c>
      <c r="P19" s="131">
        <f>+C19*'Receita 19_20_21'!V201</f>
        <v>0</v>
      </c>
      <c r="Q19" s="131">
        <f>+C19*'Receita 19_20_21'!X201</f>
        <v>0</v>
      </c>
      <c r="R19" s="131">
        <f>+C19*'Receita 19_20_21'!Z201</f>
        <v>0</v>
      </c>
      <c r="S19" s="132">
        <f>SUM(P19:R19)</f>
        <v>0</v>
      </c>
      <c r="T19" s="133">
        <f>+D19+E19+F19+H19+I19+J19+L19+M19+N19+P19+Q19+R19</f>
        <v>0</v>
      </c>
      <c r="U19" s="125"/>
      <c r="V19" s="49"/>
      <c r="W19" s="49"/>
      <c r="X19" s="49"/>
      <c r="Y19" s="49"/>
      <c r="Z19" s="49"/>
      <c r="AA19" s="49"/>
      <c r="AB19" s="49"/>
      <c r="AC19" s="50"/>
    </row>
    <row r="20" spans="1:29" ht="13.5" thickBot="1">
      <c r="A20" s="49"/>
      <c r="B20" s="130" t="s">
        <v>34</v>
      </c>
      <c r="C20" s="131">
        <v>0</v>
      </c>
      <c r="D20" s="131">
        <f>+C20*'Receita 19_20_21'!D202</f>
        <v>0</v>
      </c>
      <c r="E20" s="131">
        <f>+C20*'Receita 19_20_21'!F202</f>
        <v>0</v>
      </c>
      <c r="F20" s="131">
        <f>+C20*'Receita 19_20_21'!H202</f>
        <v>0</v>
      </c>
      <c r="G20" s="132">
        <f>SUM(D20:F20)</f>
        <v>0</v>
      </c>
      <c r="H20" s="131">
        <f>+C20*'Receita 19_20_21'!J202</f>
        <v>0</v>
      </c>
      <c r="I20" s="131">
        <f>+C20*'Receita 19_20_21'!L202</f>
        <v>0</v>
      </c>
      <c r="J20" s="131">
        <f>+C20*'Receita 19_20_21'!N202</f>
        <v>0</v>
      </c>
      <c r="K20" s="132">
        <f>SUM(H20:J20)</f>
        <v>0</v>
      </c>
      <c r="L20" s="131">
        <f>+C20*'Receita 19_20_21'!P202</f>
        <v>0</v>
      </c>
      <c r="M20" s="131">
        <f>+C20*'Receita 19_20_21'!R202</f>
        <v>0</v>
      </c>
      <c r="N20" s="131">
        <f>+C20*'Receita 19_20_21'!T202</f>
        <v>0</v>
      </c>
      <c r="O20" s="132">
        <f>SUM(L20:N20)</f>
        <v>0</v>
      </c>
      <c r="P20" s="131">
        <f>+C20*'Receita 19_20_21'!V202</f>
        <v>0</v>
      </c>
      <c r="Q20" s="131">
        <f>+C20*'Receita 19_20_21'!X202</f>
        <v>0</v>
      </c>
      <c r="R20" s="131">
        <f>+C20*'Receita 19_20_21'!Z202</f>
        <v>0</v>
      </c>
      <c r="S20" s="132">
        <f>SUM(P20:R20)</f>
        <v>0</v>
      </c>
      <c r="T20" s="133">
        <f>+D20+E20+F20+H20+I20+J20+L20+M20+N20+P20+Q20+R20</f>
        <v>0</v>
      </c>
      <c r="U20" s="125"/>
      <c r="V20" s="49"/>
      <c r="W20" s="49"/>
      <c r="X20" s="49"/>
      <c r="Y20" s="49"/>
      <c r="Z20" s="49"/>
      <c r="AA20" s="49"/>
      <c r="AB20" s="49"/>
      <c r="AC20" s="50"/>
    </row>
    <row r="21" spans="1:29" ht="13.5" thickBot="1">
      <c r="A21" s="49"/>
      <c r="B21" s="134" t="s">
        <v>16</v>
      </c>
      <c r="C21" s="135">
        <f t="shared" ref="C21:T21" si="6">+C6+C15</f>
        <v>208211049.84999999</v>
      </c>
      <c r="D21" s="135">
        <f t="shared" si="6"/>
        <v>41130582.60233435</v>
      </c>
      <c r="E21" s="135">
        <f t="shared" si="6"/>
        <v>26279499.229827598</v>
      </c>
      <c r="F21" s="135">
        <f t="shared" si="6"/>
        <v>16000101.484198274</v>
      </c>
      <c r="G21" s="135">
        <f t="shared" si="6"/>
        <v>83410183.31636022</v>
      </c>
      <c r="H21" s="135">
        <f t="shared" si="6"/>
        <v>15047650.18298338</v>
      </c>
      <c r="I21" s="135">
        <f t="shared" si="6"/>
        <v>13409770.291202748</v>
      </c>
      <c r="J21" s="135">
        <f t="shared" si="6"/>
        <v>11851065.153446736</v>
      </c>
      <c r="K21" s="136">
        <f t="shared" si="6"/>
        <v>40308485.627632864</v>
      </c>
      <c r="L21" s="135">
        <f t="shared" si="6"/>
        <v>13110228.477062766</v>
      </c>
      <c r="M21" s="135">
        <f t="shared" si="6"/>
        <v>11517865.890883956</v>
      </c>
      <c r="N21" s="135">
        <f t="shared" si="6"/>
        <v>11495103.915196521</v>
      </c>
      <c r="O21" s="136">
        <f t="shared" si="6"/>
        <v>36123198.283143245</v>
      </c>
      <c r="P21" s="135">
        <f t="shared" si="6"/>
        <v>13604520.885806594</v>
      </c>
      <c r="Q21" s="135">
        <f t="shared" si="6"/>
        <v>14259906.666270675</v>
      </c>
      <c r="R21" s="135">
        <f t="shared" si="6"/>
        <v>20504753.680111926</v>
      </c>
      <c r="S21" s="136">
        <f t="shared" si="6"/>
        <v>48369181.232189193</v>
      </c>
      <c r="T21" s="137">
        <f t="shared" si="6"/>
        <v>208211049.84932557</v>
      </c>
      <c r="U21" s="174"/>
      <c r="V21" s="95"/>
      <c r="W21" s="95"/>
      <c r="X21" s="49"/>
      <c r="Y21" s="49"/>
      <c r="Z21" s="49"/>
      <c r="AA21" s="49"/>
      <c r="AB21" s="49"/>
      <c r="AC21" s="50"/>
    </row>
    <row r="22" spans="1:29" ht="13.5" thickBot="1">
      <c r="A22" s="49"/>
      <c r="B22" s="138" t="s">
        <v>64</v>
      </c>
      <c r="C22" s="139"/>
      <c r="D22" s="140">
        <f>+D21/$C$21</f>
        <v>0.19754274632381788</v>
      </c>
      <c r="E22" s="140">
        <f t="shared" ref="E22:T22" si="7">+E21/$C$21</f>
        <v>0.12621567994955096</v>
      </c>
      <c r="F22" s="140">
        <f t="shared" si="7"/>
        <v>7.6845592468435822E-2</v>
      </c>
      <c r="G22" s="140">
        <f t="shared" si="7"/>
        <v>0.40060401874180468</v>
      </c>
      <c r="H22" s="140">
        <f t="shared" si="7"/>
        <v>7.2271141199393846E-2</v>
      </c>
      <c r="I22" s="140">
        <f t="shared" si="7"/>
        <v>6.4404700427107275E-2</v>
      </c>
      <c r="J22" s="140">
        <f t="shared" si="7"/>
        <v>5.6918521673006858E-2</v>
      </c>
      <c r="K22" s="141">
        <f t="shared" si="7"/>
        <v>0.19359436329950797</v>
      </c>
      <c r="L22" s="140">
        <f t="shared" si="7"/>
        <v>6.2966055291050468E-2</v>
      </c>
      <c r="M22" s="140">
        <f t="shared" si="7"/>
        <v>5.5318225901947522E-2</v>
      </c>
      <c r="N22" s="140">
        <f t="shared" si="7"/>
        <v>5.5208904251132958E-2</v>
      </c>
      <c r="O22" s="141">
        <f t="shared" si="7"/>
        <v>0.17349318544413095</v>
      </c>
      <c r="P22" s="140">
        <f t="shared" si="7"/>
        <v>6.5340052296012155E-2</v>
      </c>
      <c r="Q22" s="140">
        <f t="shared" si="7"/>
        <v>6.8487751618100182E-2</v>
      </c>
      <c r="R22" s="140">
        <f t="shared" si="7"/>
        <v>9.8480621921286218E-2</v>
      </c>
      <c r="S22" s="141">
        <f t="shared" si="7"/>
        <v>0.23230842583539854</v>
      </c>
      <c r="T22" s="142">
        <f t="shared" si="7"/>
        <v>0.99999999999676081</v>
      </c>
      <c r="U22" s="125"/>
      <c r="V22" s="49"/>
      <c r="W22" s="49"/>
      <c r="X22" s="49"/>
      <c r="Y22" s="49"/>
      <c r="Z22" s="49"/>
      <c r="AA22" s="49"/>
      <c r="AB22" s="49"/>
      <c r="AC22" s="50"/>
    </row>
    <row r="23" spans="1:29" ht="13.5" thickBot="1">
      <c r="A23" s="49"/>
      <c r="B23" s="143"/>
      <c r="C23" s="144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49"/>
      <c r="W23" s="49"/>
      <c r="X23" s="49"/>
      <c r="Y23" s="49"/>
      <c r="Z23" s="49"/>
      <c r="AA23" s="49"/>
      <c r="AB23" s="49"/>
      <c r="AC23" s="50"/>
    </row>
    <row r="24" spans="1:29" ht="12.75">
      <c r="A24" s="49"/>
      <c r="B24" s="146" t="s">
        <v>26</v>
      </c>
      <c r="C24" s="147" t="s">
        <v>54</v>
      </c>
      <c r="D24" s="147" t="s">
        <v>2</v>
      </c>
      <c r="E24" s="147" t="s">
        <v>3</v>
      </c>
      <c r="F24" s="147" t="s">
        <v>4</v>
      </c>
      <c r="G24" s="148" t="s">
        <v>61</v>
      </c>
      <c r="H24" s="147" t="s">
        <v>5</v>
      </c>
      <c r="I24" s="147" t="s">
        <v>6</v>
      </c>
      <c r="J24" s="147" t="s">
        <v>7</v>
      </c>
      <c r="K24" s="148" t="s">
        <v>62</v>
      </c>
      <c r="L24" s="147" t="s">
        <v>8</v>
      </c>
      <c r="M24" s="147" t="s">
        <v>9</v>
      </c>
      <c r="N24" s="147" t="s">
        <v>10</v>
      </c>
      <c r="O24" s="148" t="s">
        <v>63</v>
      </c>
      <c r="P24" s="147" t="s">
        <v>11</v>
      </c>
      <c r="Q24" s="147" t="s">
        <v>12</v>
      </c>
      <c r="R24" s="147" t="s">
        <v>13</v>
      </c>
      <c r="S24" s="148" t="s">
        <v>65</v>
      </c>
      <c r="T24" s="147" t="s">
        <v>53</v>
      </c>
      <c r="U24" s="149" t="s">
        <v>36</v>
      </c>
      <c r="V24" s="49"/>
      <c r="W24" s="49"/>
      <c r="X24" s="49"/>
      <c r="Y24" s="49"/>
      <c r="Z24" s="49"/>
      <c r="AA24" s="49"/>
      <c r="AB24" s="49"/>
      <c r="AC24" s="50"/>
    </row>
    <row r="25" spans="1:29" ht="12.75">
      <c r="A25" s="49"/>
      <c r="B25" s="126" t="s">
        <v>18</v>
      </c>
      <c r="C25" s="127">
        <f>SUM(C26:C28)</f>
        <v>199350668.44</v>
      </c>
      <c r="D25" s="127">
        <f>SUM(D26:D28)</f>
        <v>25313285.625335589</v>
      </c>
      <c r="E25" s="127">
        <f t="shared" ref="E25:L25" si="8">SUM(E26:E28)</f>
        <v>17445995.431021452</v>
      </c>
      <c r="F25" s="127">
        <f t="shared" si="8"/>
        <v>17658203.058951568</v>
      </c>
      <c r="G25" s="128">
        <f>SUM(G26:G28)</f>
        <v>60417484.115308605</v>
      </c>
      <c r="H25" s="127">
        <f t="shared" si="8"/>
        <v>15521412.735774938</v>
      </c>
      <c r="I25" s="127">
        <f t="shared" si="8"/>
        <v>12710647.541623252</v>
      </c>
      <c r="J25" s="127">
        <f t="shared" si="8"/>
        <v>13537686.953709142</v>
      </c>
      <c r="K25" s="128">
        <f>SUM(K26:K28)</f>
        <v>41769747.231107332</v>
      </c>
      <c r="L25" s="127">
        <f t="shared" si="8"/>
        <v>14846250.160532929</v>
      </c>
      <c r="M25" s="127">
        <f t="shared" ref="M25:U25" si="9">SUM(M26:M30)</f>
        <v>14059107.846024675</v>
      </c>
      <c r="N25" s="127">
        <f t="shared" si="9"/>
        <v>13712403.773040298</v>
      </c>
      <c r="O25" s="128">
        <f t="shared" si="9"/>
        <v>42617761.779597901</v>
      </c>
      <c r="P25" s="127">
        <f t="shared" si="9"/>
        <v>15155161.344035361</v>
      </c>
      <c r="Q25" s="127">
        <f t="shared" si="9"/>
        <v>14043058.857695777</v>
      </c>
      <c r="R25" s="127">
        <f t="shared" si="9"/>
        <v>17097802.768009078</v>
      </c>
      <c r="S25" s="128">
        <f t="shared" si="9"/>
        <v>46296022.969740219</v>
      </c>
      <c r="T25" s="127">
        <f t="shared" si="9"/>
        <v>8249652.349479707</v>
      </c>
      <c r="U25" s="129">
        <f t="shared" si="9"/>
        <v>199350668.44523376</v>
      </c>
      <c r="V25" s="49"/>
      <c r="W25" s="95"/>
      <c r="X25" s="49"/>
      <c r="Y25" s="49"/>
      <c r="Z25" s="49"/>
      <c r="AA25" s="49"/>
      <c r="AB25" s="49"/>
      <c r="AC25" s="50"/>
    </row>
    <row r="26" spans="1:29" ht="12.75">
      <c r="A26" s="49"/>
      <c r="B26" s="150" t="s">
        <v>19</v>
      </c>
      <c r="C26" s="131">
        <f>'Cronograma Previsto'!C28</f>
        <v>91444096.409999996</v>
      </c>
      <c r="D26" s="131">
        <f>+C26*'Despesa 19_20_21'!D135</f>
        <v>4809689.193323385</v>
      </c>
      <c r="E26" s="131">
        <f>+C26*'Despesa 19_20_21'!F135</f>
        <v>7284644.1169280577</v>
      </c>
      <c r="F26" s="131">
        <f>+C26*'Despesa 19_20_21'!H135</f>
        <v>7576176.1325341789</v>
      </c>
      <c r="G26" s="132">
        <f>SUM(D26:F26)</f>
        <v>19670509.442785621</v>
      </c>
      <c r="H26" s="131">
        <f>+C26*'Despesa 19_20_21'!J135</f>
        <v>7314637.591923805</v>
      </c>
      <c r="I26" s="131">
        <f>+C26*'Despesa 19_20_21'!L135</f>
        <v>6180216.3477271246</v>
      </c>
      <c r="J26" s="131">
        <f>+C26*'Despesa 19_20_21'!N135</f>
        <v>7400434.4066710593</v>
      </c>
      <c r="K26" s="132">
        <f>SUM(H26:J26)</f>
        <v>20895288.346321989</v>
      </c>
      <c r="L26" s="131">
        <f>+C26*'Despesa 19_20_21'!P135</f>
        <v>7986462.7526489701</v>
      </c>
      <c r="M26" s="131">
        <f>+C26*'Despesa 19_20_21'!R135</f>
        <v>7560662.3368672645</v>
      </c>
      <c r="N26" s="131">
        <f>+C26*'Despesa 19_20_21'!T135</f>
        <v>7360305.8437531292</v>
      </c>
      <c r="O26" s="132">
        <f>SUM(L26:N26)</f>
        <v>22907430.933269363</v>
      </c>
      <c r="P26" s="131">
        <f>+C26*'Despesa 19_20_21'!V135</f>
        <v>8549933.0129901748</v>
      </c>
      <c r="Q26" s="131">
        <f>+C26*'Despesa 19_20_21'!X135</f>
        <v>7801148.883814075</v>
      </c>
      <c r="R26" s="131">
        <f>+C26*'Despesa 19_20_21'!Z135-5230557.39</f>
        <v>8570184.5786166154</v>
      </c>
      <c r="S26" s="132">
        <f>SUM(P26:R26)</f>
        <v>24921266.475420866</v>
      </c>
      <c r="T26" s="131">
        <f>+C26*'Despesa 19_20_21'!AB135</f>
        <v>3989816.1797806122</v>
      </c>
      <c r="U26" s="133">
        <f>+D26+E26+F26+H26+I26+J26+L26+M26+N26+P26+Q26+R26+T26</f>
        <v>92384311.377578467</v>
      </c>
      <c r="V26" s="49"/>
      <c r="W26" s="95"/>
      <c r="X26" s="49"/>
      <c r="Y26" s="49"/>
      <c r="Z26" s="49"/>
      <c r="AA26" s="49"/>
      <c r="AB26" s="49"/>
      <c r="AC26" s="50"/>
    </row>
    <row r="27" spans="1:29" ht="12.75">
      <c r="A27" s="49"/>
      <c r="B27" s="150" t="s">
        <v>20</v>
      </c>
      <c r="C27" s="131">
        <v>0</v>
      </c>
      <c r="D27" s="131">
        <f>+C27*'Despesa 19_20_21'!D136</f>
        <v>0</v>
      </c>
      <c r="E27" s="131">
        <f>+C27*'Despesa 19_20_21'!F136</f>
        <v>0</v>
      </c>
      <c r="F27" s="131">
        <f>+C27*'Despesa 19_20_21'!H136</f>
        <v>0</v>
      </c>
      <c r="G27" s="132">
        <f>SUM(D27:F27)</f>
        <v>0</v>
      </c>
      <c r="H27" s="131">
        <f>+C27*'Despesa 19_20_21'!J136</f>
        <v>0</v>
      </c>
      <c r="I27" s="131">
        <f>+C27*'Despesa 19_20_21'!L136</f>
        <v>0</v>
      </c>
      <c r="J27" s="131">
        <f>+C27*'Despesa 19_20_21'!N136</f>
        <v>0</v>
      </c>
      <c r="K27" s="132">
        <f>SUM(H27:J27)</f>
        <v>0</v>
      </c>
      <c r="L27" s="131">
        <f>+C27*'Despesa 19_20_21'!P136</f>
        <v>0</v>
      </c>
      <c r="M27" s="131">
        <f>+C27*'Despesa 19_20_21'!R136</f>
        <v>0</v>
      </c>
      <c r="N27" s="131">
        <f>+C27*'Despesa 19_20_21'!T136</f>
        <v>0</v>
      </c>
      <c r="O27" s="132">
        <f>SUM(L27:N27)</f>
        <v>0</v>
      </c>
      <c r="P27" s="131">
        <f>+C27*'Despesa 19_20_21'!V136</f>
        <v>0</v>
      </c>
      <c r="Q27" s="131">
        <f>+C27*'Despesa 19_20_21'!X136</f>
        <v>0</v>
      </c>
      <c r="R27" s="131">
        <f>+C27*'Despesa 19_20_21'!Z136</f>
        <v>0</v>
      </c>
      <c r="S27" s="132">
        <f>SUM(P27:R27)</f>
        <v>0</v>
      </c>
      <c r="T27" s="131">
        <f>+C27*'Despesa 19_20_21'!AB136</f>
        <v>0</v>
      </c>
      <c r="U27" s="133">
        <f t="shared" ref="U27:U34" si="10">+D27+E27+F27+H27+I27+J27+L27+M27+N27+P27+Q27+R27+T27</f>
        <v>0</v>
      </c>
      <c r="V27" s="49"/>
      <c r="W27" s="49"/>
      <c r="X27" s="49"/>
      <c r="Y27" s="49"/>
      <c r="Z27" s="49"/>
      <c r="AA27" s="49"/>
      <c r="AB27" s="49"/>
      <c r="AC27" s="50"/>
    </row>
    <row r="28" spans="1:29" ht="12.75">
      <c r="A28" s="49"/>
      <c r="B28" s="150" t="s">
        <v>21</v>
      </c>
      <c r="C28" s="131">
        <f>'Cronograma Previsto'!C30</f>
        <v>107906572.03</v>
      </c>
      <c r="D28" s="131">
        <f>'Cronograma Previsto'!D30</f>
        <v>20503596.432012204</v>
      </c>
      <c r="E28" s="131">
        <f>+C28*'Despesa 19_20_21'!F137</f>
        <v>10161351.314093392</v>
      </c>
      <c r="F28" s="131">
        <f>'Cronograma Previsto'!F30</f>
        <v>10082026.92641739</v>
      </c>
      <c r="G28" s="132">
        <f>SUM(D28:F28)</f>
        <v>40746974.672522984</v>
      </c>
      <c r="H28" s="131">
        <f>'Cronograma Previsto'!H30</f>
        <v>8206775.1438511331</v>
      </c>
      <c r="I28" s="131">
        <f>+C28*'Despesa 19_20_21'!L137</f>
        <v>6530431.1938961269</v>
      </c>
      <c r="J28" s="131">
        <f>'Cronograma Previsto'!J30</f>
        <v>6137252.547038083</v>
      </c>
      <c r="K28" s="132">
        <f>SUM(H28:J28)</f>
        <v>20874458.884785343</v>
      </c>
      <c r="L28" s="131">
        <f>+C28*'Despesa 19_20_21'!P137</f>
        <v>6859787.407883958</v>
      </c>
      <c r="M28" s="131">
        <f>+C28*'Despesa 19_20_21'!R137</f>
        <v>6498445.5091574108</v>
      </c>
      <c r="N28" s="131">
        <f>+C28*'Despesa 19_20_21'!T137</f>
        <v>6352097.9292871682</v>
      </c>
      <c r="O28" s="132">
        <f>SUM(L28:N28)</f>
        <v>19710330.846328538</v>
      </c>
      <c r="P28" s="131">
        <f>+C28*'Despesa 19_20_21'!V137</f>
        <v>6605228.3310451871</v>
      </c>
      <c r="Q28" s="131">
        <f>+C28*'Despesa 19_20_21'!X137</f>
        <v>6241909.9738817029</v>
      </c>
      <c r="R28" s="131">
        <f>+C28*'Despesa 19_20_21'!Z137-2736472.75</f>
        <v>8527618.1893924624</v>
      </c>
      <c r="S28" s="132">
        <f>SUM(P28:R28)</f>
        <v>21374756.494319353</v>
      </c>
      <c r="T28" s="131">
        <f>+C28*'Despesa 19_20_21'!AB137-4000000</f>
        <v>4259836.1696990943</v>
      </c>
      <c r="U28" s="133">
        <f t="shared" si="10"/>
        <v>106966357.0676553</v>
      </c>
      <c r="V28" s="49"/>
      <c r="W28" s="95"/>
      <c r="X28" s="49"/>
      <c r="Y28" s="49"/>
      <c r="Z28" s="49"/>
      <c r="AA28" s="49"/>
      <c r="AB28" s="49"/>
      <c r="AC28" s="50"/>
    </row>
    <row r="29" spans="1:29" ht="12.75">
      <c r="A29" s="49"/>
      <c r="B29" s="150" t="s">
        <v>74</v>
      </c>
      <c r="C29" s="131"/>
      <c r="D29" s="131"/>
      <c r="E29" s="131"/>
      <c r="F29" s="131"/>
      <c r="G29" s="132"/>
      <c r="H29" s="131"/>
      <c r="I29" s="131"/>
      <c r="J29" s="131"/>
      <c r="K29" s="132"/>
      <c r="L29" s="131"/>
      <c r="M29" s="131"/>
      <c r="N29" s="131"/>
      <c r="O29" s="132"/>
      <c r="P29" s="131"/>
      <c r="Q29" s="131"/>
      <c r="R29" s="131"/>
      <c r="S29" s="132"/>
      <c r="T29" s="131"/>
      <c r="U29" s="133"/>
      <c r="V29" s="49"/>
      <c r="W29" s="49"/>
      <c r="X29" s="49"/>
      <c r="Y29" s="49"/>
      <c r="Z29" s="49"/>
      <c r="AA29" s="49"/>
      <c r="AB29" s="49"/>
      <c r="AC29" s="50"/>
    </row>
    <row r="30" spans="1:29" ht="12.75">
      <c r="A30" s="49"/>
      <c r="B30" s="150" t="s">
        <v>75</v>
      </c>
      <c r="C30" s="131"/>
      <c r="D30" s="131"/>
      <c r="E30" s="131"/>
      <c r="F30" s="131"/>
      <c r="G30" s="132"/>
      <c r="H30" s="131"/>
      <c r="I30" s="131"/>
      <c r="J30" s="131"/>
      <c r="K30" s="132"/>
      <c r="L30" s="131"/>
      <c r="M30" s="131"/>
      <c r="N30" s="131">
        <v>0</v>
      </c>
      <c r="O30" s="132">
        <f>SUM(L30:N30)</f>
        <v>0</v>
      </c>
      <c r="P30" s="131">
        <v>0</v>
      </c>
      <c r="Q30" s="131">
        <v>0</v>
      </c>
      <c r="R30" s="131">
        <v>0</v>
      </c>
      <c r="S30" s="132">
        <f>SUM(P30:R30)</f>
        <v>0</v>
      </c>
      <c r="T30" s="131"/>
      <c r="U30" s="133"/>
      <c r="V30" s="49"/>
      <c r="W30" s="49"/>
      <c r="X30" s="49"/>
      <c r="Y30" s="49"/>
      <c r="Z30" s="49"/>
      <c r="AA30" s="49"/>
      <c r="AB30" s="49"/>
      <c r="AC30" s="50"/>
    </row>
    <row r="31" spans="1:29" ht="12.75">
      <c r="A31" s="49"/>
      <c r="B31" s="126" t="s">
        <v>22</v>
      </c>
      <c r="C31" s="127">
        <f>SUM(C32:C34)</f>
        <v>6629824.0199999996</v>
      </c>
      <c r="D31" s="127">
        <f>SUM(D32:D34)</f>
        <v>1300000</v>
      </c>
      <c r="E31" s="127">
        <f t="shared" ref="E31:U31" si="11">SUM(E32:E34)</f>
        <v>6810.15780347279</v>
      </c>
      <c r="F31" s="127">
        <f t="shared" si="11"/>
        <v>1501690.1573457709</v>
      </c>
      <c r="G31" s="128">
        <f>SUM(G32:G34)</f>
        <v>2808500.3151492439</v>
      </c>
      <c r="H31" s="127">
        <f t="shared" si="11"/>
        <v>1022303.4026341533</v>
      </c>
      <c r="I31" s="127">
        <f t="shared" si="11"/>
        <v>2469715.5998422257</v>
      </c>
      <c r="J31" s="127">
        <f t="shared" si="11"/>
        <v>22512.895845669376</v>
      </c>
      <c r="K31" s="128">
        <f>SUM(K32:K34)</f>
        <v>3514531.8983220481</v>
      </c>
      <c r="L31" s="127">
        <f t="shared" si="11"/>
        <v>2.2869477979838848E-3</v>
      </c>
      <c r="M31" s="127">
        <f t="shared" si="11"/>
        <v>0</v>
      </c>
      <c r="N31" s="127">
        <f t="shared" ref="N31:T31" si="12">SUM(N32:N35)</f>
        <v>3212.5372068094439</v>
      </c>
      <c r="O31" s="128">
        <f t="shared" si="12"/>
        <v>3212.5394937572419</v>
      </c>
      <c r="P31" s="127">
        <f t="shared" si="12"/>
        <v>5489.8016187020112</v>
      </c>
      <c r="Q31" s="127">
        <f t="shared" si="12"/>
        <v>1764.7083655099268</v>
      </c>
      <c r="R31" s="127">
        <f t="shared" si="12"/>
        <v>10310.890999547206</v>
      </c>
      <c r="S31" s="128">
        <f t="shared" si="12"/>
        <v>17565.400983759144</v>
      </c>
      <c r="T31" s="127">
        <f t="shared" si="12"/>
        <v>286013.86318883195</v>
      </c>
      <c r="U31" s="129">
        <f t="shared" si="11"/>
        <v>6629824.0171376402</v>
      </c>
      <c r="V31" s="49"/>
      <c r="W31" s="49"/>
      <c r="X31" s="95"/>
      <c r="Y31" s="49"/>
      <c r="Z31" s="49"/>
      <c r="AA31" s="49"/>
      <c r="AB31" s="49"/>
      <c r="AC31" s="50"/>
    </row>
    <row r="32" spans="1:29" ht="12.75">
      <c r="A32" s="49"/>
      <c r="B32" s="151" t="s">
        <v>23</v>
      </c>
      <c r="C32" s="131">
        <f>'Cronograma Previsto'!C32</f>
        <v>6629824.0199999996</v>
      </c>
      <c r="D32" s="131">
        <f>+C32*'Despesa 19_20_21'!D139+1300000</f>
        <v>1300000</v>
      </c>
      <c r="E32" s="131">
        <f>+C32*'Despesa 19_20_21'!F139</f>
        <v>6810.15780347279</v>
      </c>
      <c r="F32" s="131">
        <f>+C32*'Despesa 19_20_21'!H139+1500000</f>
        <v>1501690.1573457709</v>
      </c>
      <c r="G32" s="132">
        <f>SUM(D32:F32)</f>
        <v>2808500.3151492439</v>
      </c>
      <c r="H32" s="131">
        <f>+C32*'Despesa 19_20_21'!J139</f>
        <v>1022303.4026341533</v>
      </c>
      <c r="I32" s="131">
        <f>+C32*'Despesa 19_20_21'!L139+1200000</f>
        <v>2469715.5998422257</v>
      </c>
      <c r="J32" s="131">
        <f>+C32*'Despesa 19_20_21'!N139</f>
        <v>22512.895845669376</v>
      </c>
      <c r="K32" s="132">
        <f>SUM(H32:J32)</f>
        <v>3514531.8983220481</v>
      </c>
      <c r="L32" s="131">
        <f>+C32*'Despesa 19_20_21'!P139-1743163.34</f>
        <v>2.2869477979838848E-3</v>
      </c>
      <c r="M32" s="131">
        <f>+C32*'Despesa 19_20_21'!R139</f>
        <v>0</v>
      </c>
      <c r="N32" s="131">
        <f>+C32*'Despesa 19_20_21'!T139-390000</f>
        <v>3212.5372068094439</v>
      </c>
      <c r="O32" s="132">
        <f>SUM(L32:N32)</f>
        <v>3212.5394937572419</v>
      </c>
      <c r="P32" s="131">
        <f>+C32*'Despesa 19_20_21'!V139-670000</f>
        <v>5489.8016187020112</v>
      </c>
      <c r="Q32" s="131">
        <f>+C32*'Despesa 19_20_21'!X139-315000</f>
        <v>1764.7083655099268</v>
      </c>
      <c r="R32" s="131">
        <f>+C32*'Despesa 19_20_21'!Z139-1500000</f>
        <v>10310.890999547206</v>
      </c>
      <c r="S32" s="132">
        <f>SUM(P32:R32)</f>
        <v>17565.400983759144</v>
      </c>
      <c r="T32" s="131">
        <f>+C32*'Despesa 19_20_21'!AB139-9600000+15332.54+98309.83</f>
        <v>286013.86318883195</v>
      </c>
      <c r="U32" s="133">
        <f t="shared" si="10"/>
        <v>6629824.0171376402</v>
      </c>
      <c r="V32" s="49"/>
      <c r="W32" s="95"/>
      <c r="X32" s="95"/>
      <c r="Y32" s="49"/>
      <c r="Z32" s="49"/>
      <c r="AA32" s="49"/>
      <c r="AB32" s="49"/>
      <c r="AC32" s="50"/>
    </row>
    <row r="33" spans="1:29" ht="12.75">
      <c r="A33" s="49"/>
      <c r="B33" s="150" t="s">
        <v>24</v>
      </c>
      <c r="C33" s="131">
        <v>0</v>
      </c>
      <c r="D33" s="131">
        <f>+C33*'Despesa 19_20_21'!D140</f>
        <v>0</v>
      </c>
      <c r="E33" s="131">
        <f>+C33*'Despesa 19_20_21'!F140</f>
        <v>0</v>
      </c>
      <c r="F33" s="131">
        <f>+C33*'Despesa 19_20_21'!H140</f>
        <v>0</v>
      </c>
      <c r="G33" s="132">
        <f>SUM(D33:F33)</f>
        <v>0</v>
      </c>
      <c r="H33" s="131">
        <f>+C33*'Despesa 19_20_21'!J140</f>
        <v>0</v>
      </c>
      <c r="I33" s="131">
        <f>+C33*'Despesa 19_20_21'!L140</f>
        <v>0</v>
      </c>
      <c r="J33" s="131">
        <f>+C33*'Despesa 19_20_21'!N140</f>
        <v>0</v>
      </c>
      <c r="K33" s="132">
        <f>SUM(H33:J33)</f>
        <v>0</v>
      </c>
      <c r="L33" s="131">
        <f>+C33*'Despesa 19_20_21'!P140</f>
        <v>0</v>
      </c>
      <c r="M33" s="131">
        <f>+C33*'Despesa 19_20_21'!R140</f>
        <v>0</v>
      </c>
      <c r="N33" s="131">
        <f>+C33*'Despesa 19_20_21'!T140</f>
        <v>0</v>
      </c>
      <c r="O33" s="132">
        <f>SUM(L33:N33)</f>
        <v>0</v>
      </c>
      <c r="P33" s="131">
        <f>+C33*'Despesa 19_20_21'!V140</f>
        <v>0</v>
      </c>
      <c r="Q33" s="131">
        <f>+C33*'Despesa 19_20_21'!X140</f>
        <v>0</v>
      </c>
      <c r="R33" s="131">
        <f>+C33*'Despesa 19_20_21'!Z140</f>
        <v>0</v>
      </c>
      <c r="S33" s="132">
        <f>SUM(P33:R33)</f>
        <v>0</v>
      </c>
      <c r="T33" s="131">
        <f>+C33*'Despesa 19_20_21'!AB140</f>
        <v>0</v>
      </c>
      <c r="U33" s="133">
        <f t="shared" si="10"/>
        <v>0</v>
      </c>
      <c r="V33" s="49"/>
      <c r="W33" s="49"/>
      <c r="X33" s="95"/>
      <c r="Y33" s="49"/>
      <c r="Z33" s="49"/>
      <c r="AA33" s="49"/>
      <c r="AB33" s="49"/>
      <c r="AC33" s="50"/>
    </row>
    <row r="34" spans="1:29" ht="12.75">
      <c r="A34" s="49"/>
      <c r="B34" s="150" t="s">
        <v>25</v>
      </c>
      <c r="C34" s="131">
        <v>0</v>
      </c>
      <c r="D34" s="131">
        <f>+C34*'Despesa 19_20_21'!D141</f>
        <v>0</v>
      </c>
      <c r="E34" s="131">
        <f>+C34*'Despesa 19_20_21'!F141</f>
        <v>0</v>
      </c>
      <c r="F34" s="131">
        <f>+C34*'Despesa 19_20_21'!H141</f>
        <v>0</v>
      </c>
      <c r="G34" s="132">
        <f>SUM(D34:F34)</f>
        <v>0</v>
      </c>
      <c r="H34" s="131">
        <f>+C34*'Despesa 19_20_21'!J141</f>
        <v>0</v>
      </c>
      <c r="I34" s="131">
        <f>+C34*'Despesa 19_20_21'!L141</f>
        <v>0</v>
      </c>
      <c r="J34" s="131">
        <f>+C34*'Despesa 19_20_21'!N141</f>
        <v>0</v>
      </c>
      <c r="K34" s="132">
        <f>SUM(H34:J34)</f>
        <v>0</v>
      </c>
      <c r="L34" s="131">
        <f>+C34*'Despesa 19_20_21'!P141</f>
        <v>0</v>
      </c>
      <c r="M34" s="131">
        <f>+C34*'Despesa 19_20_21'!R141</f>
        <v>0</v>
      </c>
      <c r="N34" s="131">
        <f>+C34*'Despesa 19_20_21'!T141</f>
        <v>0</v>
      </c>
      <c r="O34" s="132">
        <f>SUM(L34:N34)</f>
        <v>0</v>
      </c>
      <c r="P34" s="131">
        <f>+C34*'Despesa 19_20_21'!V141</f>
        <v>0</v>
      </c>
      <c r="Q34" s="131">
        <f>+C34*'Despesa 19_20_21'!X141</f>
        <v>0</v>
      </c>
      <c r="R34" s="131">
        <f>+C34*'Despesa 19_20_21'!Z141</f>
        <v>0</v>
      </c>
      <c r="S34" s="132">
        <f>SUM(P34:R34)</f>
        <v>0</v>
      </c>
      <c r="T34" s="131">
        <f>+C34*'Despesa 19_20_21'!AB141</f>
        <v>0</v>
      </c>
      <c r="U34" s="133">
        <f t="shared" si="10"/>
        <v>0</v>
      </c>
      <c r="V34" s="49"/>
      <c r="W34" s="49"/>
      <c r="X34" s="95"/>
      <c r="Y34" s="49"/>
      <c r="Z34" s="49"/>
      <c r="AA34" s="49"/>
      <c r="AB34" s="49"/>
      <c r="AC34" s="50"/>
    </row>
    <row r="35" spans="1:29" ht="13.5" thickBot="1">
      <c r="A35" s="49"/>
      <c r="B35" s="150" t="s">
        <v>76</v>
      </c>
      <c r="C35" s="131"/>
      <c r="D35" s="131"/>
      <c r="E35" s="131"/>
      <c r="F35" s="131"/>
      <c r="G35" s="132"/>
      <c r="H35" s="131"/>
      <c r="I35" s="131"/>
      <c r="J35" s="131"/>
      <c r="K35" s="132"/>
      <c r="L35" s="131"/>
      <c r="M35" s="131"/>
      <c r="N35" s="131">
        <v>0</v>
      </c>
      <c r="O35" s="132">
        <f>SUM(L35:N35)</f>
        <v>0</v>
      </c>
      <c r="P35" s="131">
        <v>0</v>
      </c>
      <c r="Q35" s="131">
        <v>0</v>
      </c>
      <c r="R35" s="131">
        <v>0</v>
      </c>
      <c r="S35" s="132">
        <f>SUM(P35:R35)</f>
        <v>0</v>
      </c>
      <c r="T35" s="131">
        <f>N35+S35</f>
        <v>0</v>
      </c>
      <c r="U35" s="133"/>
      <c r="V35" s="49"/>
      <c r="W35" s="49"/>
      <c r="X35" s="95"/>
      <c r="Y35" s="49"/>
      <c r="Z35" s="49"/>
      <c r="AA35" s="49"/>
      <c r="AB35" s="49"/>
      <c r="AC35" s="50"/>
    </row>
    <row r="36" spans="1:29" ht="13.5" thickBot="1">
      <c r="A36" s="49"/>
      <c r="B36" s="134" t="s">
        <v>17</v>
      </c>
      <c r="C36" s="152">
        <f t="shared" ref="C36:U36" si="13">+C25+C31</f>
        <v>205980492.46000001</v>
      </c>
      <c r="D36" s="135">
        <f t="shared" si="13"/>
        <v>26613285.625335589</v>
      </c>
      <c r="E36" s="135">
        <f t="shared" si="13"/>
        <v>17452805.588824924</v>
      </c>
      <c r="F36" s="135">
        <f t="shared" si="13"/>
        <v>19159893.21629734</v>
      </c>
      <c r="G36" s="136">
        <f t="shared" si="13"/>
        <v>63225984.430457845</v>
      </c>
      <c r="H36" s="135">
        <f t="shared" si="13"/>
        <v>16543716.138409091</v>
      </c>
      <c r="I36" s="135">
        <f t="shared" si="13"/>
        <v>15180363.141465478</v>
      </c>
      <c r="J36" s="135">
        <f t="shared" si="13"/>
        <v>13560199.849554813</v>
      </c>
      <c r="K36" s="136">
        <f t="shared" si="13"/>
        <v>45284279.129429378</v>
      </c>
      <c r="L36" s="135">
        <f t="shared" si="13"/>
        <v>14846250.162819877</v>
      </c>
      <c r="M36" s="135">
        <f t="shared" ref="M36:S36" si="14">+M25+M30+M31</f>
        <v>14059107.846024675</v>
      </c>
      <c r="N36" s="135">
        <f t="shared" si="14"/>
        <v>13715616.310247108</v>
      </c>
      <c r="O36" s="136">
        <f t="shared" si="14"/>
        <v>42620974.319091655</v>
      </c>
      <c r="P36" s="135">
        <f>+P25+P30+P31</f>
        <v>15160651.145654064</v>
      </c>
      <c r="Q36" s="135">
        <f>+Q25+Q30+Q31</f>
        <v>14044823.566061286</v>
      </c>
      <c r="R36" s="135">
        <f>+R25+R30+R31</f>
        <v>17108113.659008626</v>
      </c>
      <c r="S36" s="136">
        <f t="shared" si="14"/>
        <v>46313588.370723978</v>
      </c>
      <c r="T36" s="135">
        <f t="shared" si="13"/>
        <v>8535666.2126685381</v>
      </c>
      <c r="U36" s="137">
        <f t="shared" si="13"/>
        <v>205980492.46237141</v>
      </c>
      <c r="V36" s="49"/>
      <c r="W36" s="95"/>
      <c r="X36" s="49"/>
      <c r="Y36" s="49"/>
      <c r="Z36" s="49"/>
      <c r="AA36" s="49"/>
      <c r="AB36" s="49"/>
      <c r="AC36" s="50"/>
    </row>
    <row r="37" spans="1:29" ht="13.5" thickBot="1">
      <c r="A37" s="49"/>
      <c r="B37" s="138" t="s">
        <v>64</v>
      </c>
      <c r="C37" s="153"/>
      <c r="D37" s="140">
        <f>+D36/$C$36</f>
        <v>0.12920294202376328</v>
      </c>
      <c r="E37" s="140">
        <f t="shared" ref="E37:U37" si="15">+E36/$C$36</f>
        <v>8.4730380922912588E-2</v>
      </c>
      <c r="F37" s="140">
        <f t="shared" si="15"/>
        <v>9.3017998876850236E-2</v>
      </c>
      <c r="G37" s="141">
        <f t="shared" si="15"/>
        <v>0.30695132182352608</v>
      </c>
      <c r="H37" s="140">
        <f t="shared" si="15"/>
        <v>8.0316907396567022E-2</v>
      </c>
      <c r="I37" s="140">
        <f t="shared" si="15"/>
        <v>7.3698062181366028E-2</v>
      </c>
      <c r="J37" s="140">
        <f t="shared" si="15"/>
        <v>6.5832446983726436E-2</v>
      </c>
      <c r="K37" s="141">
        <f t="shared" si="15"/>
        <v>0.21984741656165946</v>
      </c>
      <c r="L37" s="140">
        <f t="shared" si="15"/>
        <v>7.2076000914032753E-2</v>
      </c>
      <c r="M37" s="140">
        <f t="shared" si="15"/>
        <v>6.8254559828061667E-2</v>
      </c>
      <c r="N37" s="140">
        <f t="shared" si="15"/>
        <v>6.6586967272692518E-2</v>
      </c>
      <c r="O37" s="141">
        <f t="shared" si="15"/>
        <v>0.20691752801478691</v>
      </c>
      <c r="P37" s="140">
        <f t="shared" si="15"/>
        <v>7.3602363818982317E-2</v>
      </c>
      <c r="Q37" s="140">
        <f t="shared" si="15"/>
        <v>6.8185212096182821E-2</v>
      </c>
      <c r="R37" s="140">
        <f t="shared" si="15"/>
        <v>8.3056960660150392E-2</v>
      </c>
      <c r="S37" s="141">
        <f t="shared" si="15"/>
        <v>0.22484453657531553</v>
      </c>
      <c r="T37" s="140">
        <f t="shared" si="15"/>
        <v>4.1439197036224708E-2</v>
      </c>
      <c r="U37" s="142">
        <f t="shared" si="15"/>
        <v>1.0000000000115128</v>
      </c>
      <c r="V37" s="49"/>
      <c r="W37" s="49"/>
      <c r="X37" s="95"/>
      <c r="Y37" s="49"/>
      <c r="Z37" s="49"/>
      <c r="AA37" s="49"/>
      <c r="AB37" s="49"/>
      <c r="AC37" s="50"/>
    </row>
    <row r="38" spans="1:29" ht="13.5" thickBot="1">
      <c r="A38" s="49"/>
      <c r="B38" s="154"/>
      <c r="C38" s="154"/>
      <c r="D38" s="154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49"/>
      <c r="W38" s="49"/>
      <c r="X38" s="49"/>
      <c r="Y38" s="49"/>
      <c r="Z38" s="49"/>
      <c r="AA38" s="49"/>
      <c r="AB38" s="49"/>
      <c r="AC38" s="50"/>
    </row>
    <row r="39" spans="1:29" ht="13.5" thickBot="1">
      <c r="A39" s="49"/>
      <c r="B39" s="134" t="s">
        <v>66</v>
      </c>
      <c r="C39" s="152"/>
      <c r="D39" s="135">
        <f>+D21-D36</f>
        <v>14517296.976998761</v>
      </c>
      <c r="E39" s="135">
        <f>+D39+E21-E36</f>
        <v>23343990.618001435</v>
      </c>
      <c r="F39" s="135">
        <f>+E39+F21-F36</f>
        <v>20184198.885902371</v>
      </c>
      <c r="G39" s="136">
        <f>+G21-G36</f>
        <v>20184198.885902375</v>
      </c>
      <c r="H39" s="135">
        <f>+F39+H21-H36</f>
        <v>18688132.930476658</v>
      </c>
      <c r="I39" s="135">
        <f>+H39+I21-I36</f>
        <v>16917540.080213927</v>
      </c>
      <c r="J39" s="135">
        <f>+I39+J21-J36</f>
        <v>15208405.384105848</v>
      </c>
      <c r="K39" s="136">
        <f>+G39+K21-K36</f>
        <v>15208405.384105861</v>
      </c>
      <c r="L39" s="135">
        <f>+J39+L21-L36</f>
        <v>13472383.698348738</v>
      </c>
      <c r="M39" s="135">
        <f>+L39+M21-M36</f>
        <v>10931141.743208019</v>
      </c>
      <c r="N39" s="135">
        <f>+M39+N21-N36</f>
        <v>8710629.3481574319</v>
      </c>
      <c r="O39" s="136">
        <f>+K39+O21-O36</f>
        <v>8710629.3481574506</v>
      </c>
      <c r="P39" s="135">
        <f>+N39+P21-P36</f>
        <v>7154499.0883099623</v>
      </c>
      <c r="Q39" s="135">
        <f>+P39+Q21-Q36</f>
        <v>7369582.188519353</v>
      </c>
      <c r="R39" s="135">
        <f>+Q39+R21-R36</f>
        <v>10766222.209622655</v>
      </c>
      <c r="S39" s="136">
        <f>+O39+S21-S36</f>
        <v>10766222.209622666</v>
      </c>
      <c r="T39" s="137">
        <f>+R39-T36+1.39</f>
        <v>2230557.3869541171</v>
      </c>
      <c r="U39" s="145"/>
      <c r="V39" s="49"/>
      <c r="W39" s="49"/>
      <c r="X39" s="49"/>
      <c r="Y39" s="49"/>
      <c r="Z39" s="49"/>
      <c r="AA39" s="49"/>
      <c r="AB39" s="49"/>
      <c r="AC39" s="50"/>
    </row>
    <row r="40" spans="1:29" ht="13.5" thickBot="1">
      <c r="A40" s="49"/>
      <c r="B40" s="138" t="s">
        <v>64</v>
      </c>
      <c r="C40" s="153"/>
      <c r="D40" s="140">
        <f>+D39/C21</f>
        <v>6.972395070990399E-2</v>
      </c>
      <c r="E40" s="140">
        <f t="shared" ref="E40:T40" si="16">+E39/$C$21</f>
        <v>0.11211696321986263</v>
      </c>
      <c r="F40" s="140">
        <f t="shared" si="16"/>
        <v>9.6941055243914914E-2</v>
      </c>
      <c r="G40" s="141">
        <f t="shared" si="16"/>
        <v>9.6941055243914928E-2</v>
      </c>
      <c r="H40" s="140">
        <f>+H39/$C$21</f>
        <v>8.97557211489977E-2</v>
      </c>
      <c r="I40" s="140">
        <f t="shared" si="16"/>
        <v>8.1251884049389836E-2</v>
      </c>
      <c r="J40" s="140">
        <f t="shared" si="16"/>
        <v>7.3043219344325533E-2</v>
      </c>
      <c r="K40" s="141">
        <f t="shared" si="16"/>
        <v>7.3043219344325602E-2</v>
      </c>
      <c r="L40" s="140">
        <f t="shared" si="16"/>
        <v>6.4705421292743842E-2</v>
      </c>
      <c r="M40" s="140">
        <f t="shared" si="16"/>
        <v>5.2500295978926498E-2</v>
      </c>
      <c r="N40" s="140">
        <f t="shared" si="16"/>
        <v>4.1835576711383805E-2</v>
      </c>
      <c r="O40" s="141">
        <f t="shared" si="16"/>
        <v>4.1835576711383896E-2</v>
      </c>
      <c r="P40" s="140">
        <f t="shared" si="16"/>
        <v>3.436176462999551E-2</v>
      </c>
      <c r="Q40" s="140">
        <f t="shared" si="16"/>
        <v>3.5394769844485051E-2</v>
      </c>
      <c r="R40" s="140">
        <f t="shared" si="16"/>
        <v>5.1708217298644277E-2</v>
      </c>
      <c r="S40" s="141">
        <f t="shared" si="16"/>
        <v>5.1708217298644325E-2</v>
      </c>
      <c r="T40" s="142">
        <f t="shared" si="16"/>
        <v>1.0712963546176161E-2</v>
      </c>
      <c r="U40" s="155"/>
      <c r="V40" s="49"/>
      <c r="W40" s="49"/>
      <c r="X40" s="49"/>
      <c r="Y40" s="49"/>
      <c r="Z40" s="49"/>
      <c r="AA40" s="49"/>
      <c r="AB40" s="49"/>
      <c r="AC40" s="50"/>
    </row>
    <row r="41" spans="1:29" ht="12.75">
      <c r="A41" s="49"/>
      <c r="B41" s="154"/>
      <c r="C41" s="156"/>
      <c r="D41" s="154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49"/>
      <c r="W41" s="49"/>
      <c r="X41" s="49"/>
      <c r="Y41" s="49"/>
      <c r="Z41" s="49"/>
      <c r="AA41" s="49"/>
      <c r="AB41" s="49"/>
      <c r="AC41" s="50"/>
    </row>
    <row r="42" spans="1:29" ht="12.75">
      <c r="A42" s="49"/>
      <c r="B42" s="154"/>
      <c r="C42" s="154"/>
      <c r="D42" s="156"/>
      <c r="E42" s="157"/>
      <c r="F42" s="157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49"/>
      <c r="W42" s="95"/>
      <c r="X42" s="95"/>
      <c r="Y42" s="49"/>
      <c r="Z42" s="49"/>
      <c r="AA42" s="49"/>
      <c r="AB42" s="49"/>
      <c r="AC42" s="50"/>
    </row>
    <row r="43" spans="1:29" ht="12.75">
      <c r="A43" s="49"/>
      <c r="B43" s="119" t="s">
        <v>96</v>
      </c>
      <c r="C43" s="119"/>
      <c r="D43" s="119"/>
      <c r="E43" s="119"/>
      <c r="F43" s="157"/>
      <c r="G43" s="157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84"/>
      <c r="U43" s="157"/>
      <c r="V43" s="49"/>
      <c r="W43" s="49"/>
      <c r="X43" s="49"/>
      <c r="Y43" s="49"/>
      <c r="Z43" s="49"/>
      <c r="AA43" s="49"/>
      <c r="AB43" s="49"/>
      <c r="AC43" s="50"/>
    </row>
    <row r="44" spans="1:29" ht="12.75">
      <c r="A44" s="49"/>
      <c r="B44" s="119" t="s">
        <v>95</v>
      </c>
      <c r="C44" s="119"/>
      <c r="D44" s="119"/>
      <c r="E44" s="119"/>
      <c r="F44" s="157"/>
      <c r="G44" s="157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57"/>
      <c r="U44" s="157"/>
      <c r="V44" s="49"/>
      <c r="W44" s="95">
        <f>W42-W41</f>
        <v>0</v>
      </c>
      <c r="X44" s="49"/>
      <c r="Y44" s="49"/>
      <c r="Z44" s="49"/>
      <c r="AA44" s="49"/>
      <c r="AB44" s="49"/>
      <c r="AC44" s="50"/>
    </row>
    <row r="45" spans="1:29" ht="12.75">
      <c r="A45" s="49"/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57"/>
      <c r="U45" s="157"/>
      <c r="V45" s="49"/>
      <c r="W45" s="49"/>
      <c r="X45" s="49"/>
      <c r="Y45" s="49"/>
      <c r="Z45" s="49"/>
      <c r="AA45" s="49"/>
      <c r="AB45" s="49"/>
      <c r="AC45" s="50"/>
    </row>
    <row r="46" spans="1:29" ht="15">
      <c r="A46" s="49"/>
      <c r="B46" s="49"/>
      <c r="C46" s="49"/>
      <c r="D46" s="118"/>
      <c r="E46" s="118"/>
      <c r="F46" s="118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113"/>
      <c r="U46" s="95"/>
      <c r="V46" s="49"/>
      <c r="W46" s="49"/>
      <c r="X46" s="49"/>
      <c r="Y46" s="49"/>
      <c r="Z46" s="49"/>
      <c r="AA46" s="49"/>
      <c r="AB46" s="49"/>
      <c r="AC46" s="50"/>
    </row>
    <row r="47" spans="1:29" ht="15">
      <c r="A47" s="49"/>
      <c r="B47" s="49"/>
      <c r="C47" s="95"/>
      <c r="D47" s="118"/>
      <c r="E47" s="118"/>
      <c r="F47" s="118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95"/>
      <c r="V47" s="49"/>
      <c r="W47" s="49"/>
      <c r="X47" s="49"/>
      <c r="Y47" s="49"/>
      <c r="Z47" s="49"/>
      <c r="AA47" s="49"/>
      <c r="AB47" s="49"/>
      <c r="AC47" s="50"/>
    </row>
    <row r="48" spans="1:29" ht="15">
      <c r="A48" s="49"/>
      <c r="B48" s="49"/>
      <c r="C48" s="49"/>
      <c r="D48" s="118"/>
      <c r="E48" s="118"/>
      <c r="F48" s="118"/>
      <c r="G48" s="49"/>
      <c r="H48" s="186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95"/>
      <c r="U48" s="95"/>
      <c r="V48" s="49"/>
      <c r="W48" s="49"/>
      <c r="X48" s="49"/>
      <c r="Y48" s="49"/>
      <c r="Z48" s="49"/>
      <c r="AA48" s="49"/>
      <c r="AB48" s="49"/>
      <c r="AC48" s="50"/>
    </row>
    <row r="49" spans="1:29" ht="15">
      <c r="A49" s="49"/>
      <c r="B49" s="49"/>
      <c r="C49" s="49"/>
      <c r="D49" s="118"/>
      <c r="E49" s="118"/>
      <c r="F49" s="118"/>
      <c r="G49" s="49"/>
      <c r="H49" s="186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95"/>
      <c r="U49" s="95"/>
      <c r="V49" s="49"/>
      <c r="W49" s="49"/>
      <c r="X49" s="49"/>
      <c r="Y49" s="49"/>
      <c r="Z49" s="49"/>
      <c r="AA49" s="49"/>
      <c r="AB49" s="49"/>
      <c r="AC49" s="50"/>
    </row>
    <row r="50" spans="1:29" ht="15">
      <c r="A50" s="49"/>
      <c r="B50" s="49"/>
      <c r="C50" s="49"/>
      <c r="D50" s="118"/>
      <c r="E50" s="118"/>
      <c r="F50" s="118"/>
      <c r="G50" s="49"/>
      <c r="H50" s="186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95"/>
      <c r="V50" s="49"/>
      <c r="W50" s="49"/>
      <c r="X50" s="49"/>
      <c r="Y50" s="49"/>
      <c r="Z50" s="49"/>
      <c r="AA50" s="49"/>
      <c r="AB50" s="49"/>
      <c r="AC50" s="50"/>
    </row>
    <row r="51" spans="1:29">
      <c r="A51" s="49"/>
      <c r="B51" s="111"/>
      <c r="C51" s="49"/>
      <c r="D51" s="49"/>
      <c r="E51" s="49"/>
      <c r="F51" s="49"/>
      <c r="G51" s="49"/>
      <c r="H51" s="186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50"/>
    </row>
    <row r="52" spans="1:29">
      <c r="A52" s="49"/>
      <c r="B52" s="49"/>
      <c r="C52" s="49"/>
      <c r="D52" s="49"/>
      <c r="E52" s="49"/>
      <c r="F52" s="49"/>
      <c r="G52" s="49"/>
      <c r="H52" s="186"/>
      <c r="I52" s="49"/>
      <c r="J52" s="186"/>
      <c r="K52" s="49"/>
      <c r="L52" s="187"/>
      <c r="M52" s="49"/>
      <c r="N52" s="186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50"/>
    </row>
    <row r="53" spans="1:29">
      <c r="A53" s="49"/>
      <c r="B53" s="96"/>
      <c r="C53" s="96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8"/>
      <c r="AB53" s="99"/>
      <c r="AC53" s="50"/>
    </row>
    <row r="54" spans="1:29">
      <c r="A54" s="49"/>
      <c r="B54" s="102"/>
      <c r="C54" s="102"/>
      <c r="D54" s="106"/>
      <c r="E54" s="106"/>
      <c r="F54" s="106"/>
      <c r="G54" s="106"/>
      <c r="H54" s="101"/>
      <c r="I54" s="106"/>
      <c r="J54" s="106"/>
      <c r="K54" s="106"/>
      <c r="L54" s="106"/>
      <c r="M54" s="101"/>
      <c r="N54" s="106"/>
      <c r="O54" s="106"/>
      <c r="P54" s="106"/>
      <c r="Q54" s="106"/>
      <c r="R54" s="101"/>
      <c r="S54" s="101"/>
      <c r="T54" s="101"/>
      <c r="U54" s="101"/>
      <c r="V54" s="101"/>
      <c r="W54" s="101"/>
      <c r="X54" s="101"/>
      <c r="Y54" s="102"/>
      <c r="Z54" s="49"/>
      <c r="AA54" s="49"/>
      <c r="AB54" s="103"/>
      <c r="AC54" s="100"/>
    </row>
    <row r="55" spans="1:29" ht="48.75" customHeight="1">
      <c r="A55" s="104"/>
      <c r="B55" s="102"/>
      <c r="C55" s="102"/>
      <c r="D55" s="289" t="s">
        <v>81</v>
      </c>
      <c r="E55" s="289"/>
      <c r="F55" s="289"/>
      <c r="G55" s="289"/>
      <c r="H55" s="158"/>
      <c r="I55" s="289" t="s">
        <v>82</v>
      </c>
      <c r="J55" s="290"/>
      <c r="K55" s="290"/>
      <c r="L55" s="290"/>
      <c r="M55" s="159"/>
      <c r="N55" s="289" t="s">
        <v>83</v>
      </c>
      <c r="O55" s="290"/>
      <c r="P55" s="290"/>
      <c r="Q55" s="290"/>
      <c r="R55" s="101"/>
      <c r="S55" s="101"/>
      <c r="T55" s="101"/>
      <c r="U55" s="101"/>
      <c r="V55" s="101"/>
      <c r="W55" s="101"/>
      <c r="X55" s="101"/>
      <c r="Y55" s="102"/>
      <c r="Z55" s="49"/>
      <c r="AA55" s="49"/>
      <c r="AB55" s="103"/>
      <c r="AC55" s="100"/>
    </row>
    <row r="56" spans="1:29" ht="48.75" customHeight="1">
      <c r="A56" s="104"/>
      <c r="B56" s="102"/>
      <c r="C56" s="102"/>
      <c r="D56" s="163"/>
      <c r="E56" s="163"/>
      <c r="F56" s="163"/>
      <c r="G56" s="163"/>
      <c r="H56" s="158"/>
      <c r="I56" s="163"/>
      <c r="J56" s="164"/>
      <c r="K56" s="164"/>
      <c r="L56" s="164"/>
      <c r="M56" s="159"/>
      <c r="N56" s="163"/>
      <c r="O56" s="164"/>
      <c r="P56" s="164"/>
      <c r="Q56" s="164"/>
      <c r="R56" s="101"/>
      <c r="S56" s="101"/>
      <c r="T56" s="101"/>
      <c r="U56" s="101"/>
      <c r="V56" s="101"/>
      <c r="W56" s="101"/>
      <c r="X56" s="101"/>
      <c r="Y56" s="102"/>
      <c r="Z56" s="49"/>
      <c r="AA56" s="49"/>
      <c r="AB56" s="103"/>
      <c r="AC56" s="100"/>
    </row>
    <row r="57" spans="1:29" ht="48.75" customHeight="1">
      <c r="A57" s="104"/>
      <c r="B57" s="102"/>
      <c r="C57" s="102"/>
      <c r="D57" s="163"/>
      <c r="E57" s="163"/>
      <c r="F57" s="163"/>
      <c r="G57" s="163"/>
      <c r="H57" s="158"/>
      <c r="I57" s="163"/>
      <c r="J57" s="164"/>
      <c r="K57" s="164"/>
      <c r="L57" s="164"/>
      <c r="M57" s="159"/>
      <c r="N57" s="163"/>
      <c r="O57" s="164"/>
      <c r="P57" s="164"/>
      <c r="Q57" s="164"/>
      <c r="R57" s="101"/>
      <c r="S57" s="101"/>
      <c r="T57" s="101"/>
      <c r="U57" s="101"/>
      <c r="V57" s="101"/>
      <c r="W57" s="101"/>
      <c r="X57" s="101"/>
      <c r="Y57" s="102"/>
      <c r="Z57" s="49"/>
      <c r="AA57" s="49"/>
      <c r="AB57" s="103"/>
      <c r="AC57" s="100"/>
    </row>
    <row r="58" spans="1:29" ht="29.25" customHeight="1">
      <c r="A58" s="104"/>
      <c r="B58" s="102"/>
      <c r="C58" s="102"/>
      <c r="D58" s="163"/>
      <c r="E58" s="164"/>
      <c r="F58" s="164"/>
      <c r="G58" s="164"/>
      <c r="H58" s="158"/>
      <c r="I58" s="163"/>
      <c r="J58" s="164"/>
      <c r="K58" s="164"/>
      <c r="L58" s="164"/>
      <c r="M58" s="159"/>
      <c r="N58" s="163"/>
      <c r="O58" s="164"/>
      <c r="P58" s="164"/>
      <c r="Q58" s="164"/>
      <c r="R58" s="101"/>
      <c r="S58" s="101"/>
      <c r="T58" s="101"/>
      <c r="U58" s="101"/>
      <c r="V58" s="101"/>
      <c r="W58" s="101"/>
      <c r="X58" s="101"/>
      <c r="Y58" s="102"/>
      <c r="Z58" s="49"/>
      <c r="AA58" s="49"/>
      <c r="AB58" s="103"/>
      <c r="AC58" s="100"/>
    </row>
    <row r="59" spans="1:29" ht="18.75" customHeight="1">
      <c r="A59" s="104"/>
      <c r="B59" s="102"/>
      <c r="C59" s="102"/>
      <c r="D59" s="106"/>
      <c r="E59" s="106"/>
      <c r="F59" s="106"/>
      <c r="G59" s="106"/>
      <c r="H59" s="158"/>
      <c r="I59" s="108"/>
      <c r="J59" s="108"/>
      <c r="K59" s="108"/>
      <c r="L59" s="108"/>
      <c r="M59" s="159"/>
      <c r="N59" s="166"/>
      <c r="O59" s="166"/>
      <c r="P59" s="166"/>
      <c r="Q59" s="166"/>
      <c r="R59" s="101"/>
      <c r="S59" s="101"/>
      <c r="T59" s="101"/>
      <c r="U59" s="101"/>
      <c r="V59" s="101"/>
      <c r="W59" s="101"/>
      <c r="X59" s="101"/>
      <c r="Y59" s="102"/>
      <c r="Z59" s="49"/>
      <c r="AA59" s="49"/>
      <c r="AB59" s="103"/>
      <c r="AC59" s="100"/>
    </row>
    <row r="60" spans="1:29" ht="15.75" customHeight="1">
      <c r="A60" s="104"/>
      <c r="B60" s="49"/>
      <c r="C60" s="49"/>
      <c r="D60" s="283" t="s">
        <v>88</v>
      </c>
      <c r="E60" s="283"/>
      <c r="F60" s="283"/>
      <c r="G60" s="283"/>
      <c r="H60" s="160"/>
      <c r="I60" s="285"/>
      <c r="J60" s="285"/>
      <c r="K60" s="285"/>
      <c r="L60" s="285"/>
      <c r="M60" s="160"/>
      <c r="N60" s="167"/>
      <c r="O60" s="182" t="s">
        <v>84</v>
      </c>
      <c r="P60" s="167"/>
      <c r="Q60" s="167"/>
      <c r="R60" s="49"/>
      <c r="S60" s="49"/>
      <c r="T60" s="49"/>
      <c r="U60" s="49" t="s">
        <v>73</v>
      </c>
      <c r="V60" s="49"/>
      <c r="W60" s="49"/>
      <c r="X60" s="49"/>
      <c r="Y60" s="49"/>
      <c r="Z60" s="49"/>
      <c r="AA60" s="49"/>
      <c r="AB60" s="49"/>
      <c r="AC60" s="104"/>
    </row>
    <row r="61" spans="1:29" ht="18.75">
      <c r="D61" s="284"/>
      <c r="E61" s="284"/>
      <c r="F61" s="284"/>
      <c r="G61" s="284"/>
      <c r="H61" s="161"/>
      <c r="I61" s="286"/>
      <c r="J61" s="286"/>
      <c r="K61" s="286"/>
      <c r="L61" s="286"/>
      <c r="M61" s="161"/>
      <c r="N61" s="168"/>
      <c r="O61" s="182" t="s">
        <v>87</v>
      </c>
      <c r="P61" s="168"/>
      <c r="Q61" s="168"/>
    </row>
    <row r="62" spans="1:29" ht="18.75">
      <c r="D62" s="161"/>
      <c r="F62" s="182" t="s">
        <v>93</v>
      </c>
      <c r="G62" s="161"/>
      <c r="H62" s="161"/>
      <c r="I62" s="161"/>
      <c r="J62" s="161"/>
      <c r="K62" s="161"/>
      <c r="L62" s="161"/>
      <c r="M62" s="161"/>
      <c r="N62" s="168"/>
      <c r="P62" s="168"/>
      <c r="Q62" s="168"/>
    </row>
    <row r="63" spans="1:29" ht="15.75"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8"/>
      <c r="O63" s="168"/>
      <c r="P63" s="168"/>
      <c r="Q63" s="168"/>
    </row>
    <row r="64" spans="1:29" ht="15.75">
      <c r="N64" s="168"/>
      <c r="O64" s="168"/>
      <c r="P64" s="168"/>
      <c r="Q64" s="168"/>
    </row>
  </sheetData>
  <sheetProtection selectLockedCells="1" selectUnlockedCells="1"/>
  <mergeCells count="8">
    <mergeCell ref="D60:G61"/>
    <mergeCell ref="I60:L60"/>
    <mergeCell ref="I61:L61"/>
    <mergeCell ref="B1:U1"/>
    <mergeCell ref="B2:U2"/>
    <mergeCell ref="D55:G55"/>
    <mergeCell ref="I55:L55"/>
    <mergeCell ref="N55:Q55"/>
  </mergeCells>
  <printOptions horizontalCentered="1" verticalCentered="1"/>
  <pageMargins left="0" right="0" top="1.1811023622047245" bottom="0.39370078740157483" header="0" footer="0"/>
  <pageSetup scale="4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U62"/>
  <sheetViews>
    <sheetView workbookViewId="0">
      <selection activeCell="O26" sqref="O26"/>
    </sheetView>
  </sheetViews>
  <sheetFormatPr defaultRowHeight="11.25"/>
  <cols>
    <col min="1" max="1" width="1.5703125" style="51" customWidth="1"/>
    <col min="2" max="2" width="38" style="51" customWidth="1"/>
    <col min="3" max="3" width="14.7109375" style="51" bestFit="1" customWidth="1"/>
    <col min="4" max="4" width="13.5703125" style="51" bestFit="1" customWidth="1"/>
    <col min="5" max="5" width="13.5703125" style="51" customWidth="1"/>
    <col min="6" max="6" width="2.42578125" style="51" customWidth="1"/>
    <col min="7" max="7" width="13.28515625" style="51" bestFit="1" customWidth="1"/>
    <col min="8" max="8" width="13.5703125" style="51" bestFit="1" customWidth="1"/>
    <col min="9" max="9" width="2.42578125" style="51" customWidth="1"/>
    <col min="10" max="10" width="13.5703125" style="51" bestFit="1" customWidth="1"/>
    <col min="11" max="11" width="13.5703125" style="51" customWidth="1"/>
    <col min="12" max="12" width="3.28515625" style="51" customWidth="1"/>
    <col min="13" max="13" width="15.28515625" style="51" bestFit="1" customWidth="1"/>
    <col min="14" max="14" width="13.5703125" style="51" bestFit="1" customWidth="1"/>
    <col min="15" max="16" width="12.85546875" style="51" bestFit="1" customWidth="1"/>
    <col min="17" max="16384" width="9.140625" style="51"/>
  </cols>
  <sheetData>
    <row r="1" spans="1:21" ht="25.5">
      <c r="A1" s="49"/>
      <c r="B1" s="287" t="s">
        <v>55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52"/>
      <c r="O1" s="52"/>
      <c r="P1" s="52"/>
      <c r="Q1" s="52"/>
      <c r="R1" s="52"/>
      <c r="S1" s="52"/>
      <c r="T1" s="53"/>
      <c r="U1" s="50"/>
    </row>
    <row r="2" spans="1:21" ht="25.5">
      <c r="A2" s="49"/>
      <c r="B2" s="288" t="s">
        <v>94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54"/>
      <c r="O2" s="54"/>
      <c r="P2" s="54"/>
      <c r="Q2" s="54"/>
      <c r="R2" s="54"/>
      <c r="S2" s="54"/>
      <c r="T2" s="55"/>
      <c r="U2" s="50"/>
    </row>
    <row r="3" spans="1:21" ht="18.75">
      <c r="A3" s="49"/>
      <c r="B3" s="49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18"/>
      <c r="N3" s="54"/>
      <c r="O3" s="54"/>
      <c r="P3" s="54"/>
      <c r="Q3" s="54"/>
      <c r="R3" s="54"/>
      <c r="S3" s="54"/>
      <c r="T3" s="55"/>
      <c r="U3" s="50"/>
    </row>
    <row r="4" spans="1:21" ht="13.5" thickBot="1">
      <c r="A4" s="49"/>
      <c r="B4" s="119" t="s">
        <v>68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54"/>
      <c r="O4" s="54"/>
      <c r="P4" s="54"/>
      <c r="Q4" s="54"/>
      <c r="R4" s="54"/>
      <c r="S4" s="54"/>
      <c r="T4" s="55"/>
      <c r="U4" s="50"/>
    </row>
    <row r="5" spans="1:21" ht="13.5" thickBot="1">
      <c r="A5" s="49"/>
      <c r="B5" s="121" t="s">
        <v>30</v>
      </c>
      <c r="C5" s="194" t="s">
        <v>54</v>
      </c>
      <c r="D5" s="294" t="s">
        <v>2</v>
      </c>
      <c r="E5" s="295"/>
      <c r="F5" s="296"/>
      <c r="G5" s="294" t="s">
        <v>3</v>
      </c>
      <c r="H5" s="295"/>
      <c r="I5" s="296"/>
      <c r="J5" s="294" t="s">
        <v>4</v>
      </c>
      <c r="K5" s="295"/>
      <c r="L5" s="296"/>
      <c r="M5" s="302" t="s">
        <v>61</v>
      </c>
      <c r="N5" s="303"/>
      <c r="O5" s="49"/>
      <c r="P5" s="49"/>
      <c r="Q5" s="49"/>
      <c r="R5" s="49"/>
      <c r="S5" s="49"/>
      <c r="T5" s="49"/>
      <c r="U5" s="50"/>
    </row>
    <row r="6" spans="1:21" ht="13.5" thickBot="1">
      <c r="A6" s="49"/>
      <c r="B6" s="188"/>
      <c r="C6" s="209"/>
      <c r="D6" s="194" t="s">
        <v>97</v>
      </c>
      <c r="E6" s="194" t="s">
        <v>98</v>
      </c>
      <c r="F6" s="215"/>
      <c r="G6" s="194" t="s">
        <v>97</v>
      </c>
      <c r="H6" s="194" t="s">
        <v>98</v>
      </c>
      <c r="I6" s="215"/>
      <c r="J6" s="194" t="s">
        <v>97</v>
      </c>
      <c r="K6" s="194" t="s">
        <v>98</v>
      </c>
      <c r="L6" s="215"/>
      <c r="M6" s="194" t="s">
        <v>97</v>
      </c>
      <c r="N6" s="194" t="s">
        <v>98</v>
      </c>
      <c r="O6" s="49"/>
      <c r="P6" s="49"/>
      <c r="Q6" s="49"/>
      <c r="R6" s="49"/>
      <c r="S6" s="49"/>
      <c r="T6" s="49"/>
      <c r="U6" s="50"/>
    </row>
    <row r="7" spans="1:21" ht="12.75">
      <c r="A7" s="49"/>
      <c r="B7" s="126" t="s">
        <v>28</v>
      </c>
      <c r="C7" s="210">
        <f>SUM(C8:C15)</f>
        <v>208211049.84999999</v>
      </c>
      <c r="D7" s="216">
        <f>SUM(D8:D15)</f>
        <v>41130582.60233435</v>
      </c>
      <c r="E7" s="127">
        <f>SUM(E8:E15)</f>
        <v>51310753.789999999</v>
      </c>
      <c r="F7" s="129"/>
      <c r="G7" s="216">
        <f t="shared" ref="G7:M7" si="0">SUM(G8:G15)</f>
        <v>26279499.229827598</v>
      </c>
      <c r="H7" s="127">
        <f>SUM(H8:H15)</f>
        <v>22856188.059999999</v>
      </c>
      <c r="I7" s="129"/>
      <c r="J7" s="216">
        <f t="shared" si="0"/>
        <v>16000101.484198274</v>
      </c>
      <c r="K7" s="127">
        <f>SUM(K8:K15)</f>
        <v>18979244.050000001</v>
      </c>
      <c r="L7" s="129"/>
      <c r="M7" s="132">
        <f t="shared" si="0"/>
        <v>83410183.31636022</v>
      </c>
      <c r="N7" s="132">
        <f>E7+H7+K7</f>
        <v>93146185.899999991</v>
      </c>
      <c r="O7" s="49"/>
      <c r="P7" s="49"/>
      <c r="Q7" s="49"/>
      <c r="R7" s="49"/>
      <c r="S7" s="49"/>
      <c r="T7" s="49"/>
      <c r="U7" s="50"/>
    </row>
    <row r="8" spans="1:21" ht="12.75">
      <c r="A8" s="49"/>
      <c r="B8" s="130" t="s">
        <v>42</v>
      </c>
      <c r="C8" s="211">
        <v>0</v>
      </c>
      <c r="D8" s="217">
        <f>+C8*'Receita 19_20_21'!D189</f>
        <v>0</v>
      </c>
      <c r="E8" s="131"/>
      <c r="F8" s="133"/>
      <c r="G8" s="217">
        <f>+C8*'Receita 19_20_21'!F189</f>
        <v>0</v>
      </c>
      <c r="H8" s="131"/>
      <c r="I8" s="133"/>
      <c r="J8" s="217">
        <f>+C8*'Receita 19_20_21'!H189</f>
        <v>0</v>
      </c>
      <c r="K8" s="131"/>
      <c r="L8" s="133"/>
      <c r="M8" s="233">
        <f>SUM(D8:J8)</f>
        <v>0</v>
      </c>
      <c r="N8" s="189"/>
      <c r="O8" s="49"/>
      <c r="P8" s="49"/>
      <c r="Q8" s="49"/>
      <c r="R8" s="49"/>
      <c r="S8" s="49"/>
      <c r="T8" s="49"/>
      <c r="U8" s="50"/>
    </row>
    <row r="9" spans="1:21" ht="12.75">
      <c r="A9" s="49"/>
      <c r="B9" s="130" t="s">
        <v>31</v>
      </c>
      <c r="C9" s="211">
        <f>'Cronograma Previsto'!C10</f>
        <v>138632104.88</v>
      </c>
      <c r="D9" s="217">
        <f>'Cronograma Previsto'!D10-7000000-7000000</f>
        <v>33628514.288641468</v>
      </c>
      <c r="E9" s="131">
        <v>43672773.829999998</v>
      </c>
      <c r="F9" s="133"/>
      <c r="G9" s="217">
        <f>'Cronograma Previsto'!E10+3000000</f>
        <v>19483427.039783038</v>
      </c>
      <c r="H9" s="131">
        <v>17012825.41</v>
      </c>
      <c r="I9" s="133"/>
      <c r="J9" s="217">
        <f>'Cronograma Previsto'!F10</f>
        <v>9066868.9200249389</v>
      </c>
      <c r="K9" s="131">
        <v>12389674.77</v>
      </c>
      <c r="L9" s="133"/>
      <c r="M9" s="233">
        <f>D9+G9+J9</f>
        <v>62178810.248449445</v>
      </c>
      <c r="N9" s="189">
        <f>E9+H9+K9</f>
        <v>73075274.00999999</v>
      </c>
      <c r="O9" s="49"/>
      <c r="P9" s="49"/>
      <c r="Q9" s="49"/>
      <c r="R9" s="49"/>
      <c r="S9" s="49"/>
      <c r="T9" s="49"/>
      <c r="U9" s="50"/>
    </row>
    <row r="10" spans="1:21" ht="12.75">
      <c r="A10" s="49"/>
      <c r="B10" s="130" t="s">
        <v>32</v>
      </c>
      <c r="C10" s="211">
        <f>'Cronograma Previsto'!C11</f>
        <v>18175742.620000001</v>
      </c>
      <c r="D10" s="217">
        <f>C10*'Receita 19_20_21'!D191</f>
        <v>1483529.6879954578</v>
      </c>
      <c r="E10" s="131">
        <v>1730962.27</v>
      </c>
      <c r="F10" s="133"/>
      <c r="G10" s="217">
        <f>C10*'Receita 19_20_21'!F191</f>
        <v>1554118.7818375702</v>
      </c>
      <c r="H10" s="131">
        <v>1608999.2</v>
      </c>
      <c r="I10" s="133"/>
      <c r="J10" s="217">
        <f>C10*'Receita 19_20_21'!H191-100000</f>
        <v>1657711.2492512588</v>
      </c>
      <c r="K10" s="131">
        <v>2150909.12</v>
      </c>
      <c r="L10" s="133"/>
      <c r="M10" s="233">
        <f>D10+G10+J10</f>
        <v>4695359.7190842871</v>
      </c>
      <c r="N10" s="189">
        <f>E10+H10+K10</f>
        <v>5490870.5899999999</v>
      </c>
      <c r="O10" s="49"/>
      <c r="P10" s="49"/>
      <c r="Q10" s="49"/>
      <c r="R10" s="49"/>
      <c r="S10" s="49"/>
      <c r="T10" s="49"/>
      <c r="U10" s="50"/>
    </row>
    <row r="11" spans="1:21" ht="12.75">
      <c r="A11" s="49"/>
      <c r="B11" s="130" t="s">
        <v>43</v>
      </c>
      <c r="C11" s="211">
        <v>0</v>
      </c>
      <c r="D11" s="217">
        <f>+C11*'Receita 19_20_21'!D192</f>
        <v>0</v>
      </c>
      <c r="E11" s="131"/>
      <c r="F11" s="133"/>
      <c r="G11" s="217">
        <f>+C11*'Receita 19_20_21'!F192</f>
        <v>0</v>
      </c>
      <c r="H11" s="131"/>
      <c r="I11" s="133"/>
      <c r="J11" s="217">
        <f>+C11*'Receita 19_20_21'!H192</f>
        <v>0</v>
      </c>
      <c r="K11" s="131"/>
      <c r="L11" s="133"/>
      <c r="M11" s="233">
        <f>SUM(D11:J11)</f>
        <v>0</v>
      </c>
      <c r="N11" s="189"/>
      <c r="O11" s="49"/>
      <c r="P11" s="49"/>
      <c r="Q11" s="49"/>
      <c r="R11" s="49"/>
      <c r="S11" s="49"/>
      <c r="T11" s="49"/>
      <c r="U11" s="50"/>
    </row>
    <row r="12" spans="1:21" ht="12.75">
      <c r="A12" s="49"/>
      <c r="B12" s="130" t="s">
        <v>44</v>
      </c>
      <c r="C12" s="211">
        <v>0</v>
      </c>
      <c r="D12" s="217">
        <f>+C12*'Receita 19_20_21'!D193</f>
        <v>0</v>
      </c>
      <c r="E12" s="131"/>
      <c r="F12" s="133"/>
      <c r="G12" s="217">
        <f>+C12*'Receita 19_20_21'!F193</f>
        <v>0</v>
      </c>
      <c r="H12" s="131"/>
      <c r="I12" s="133"/>
      <c r="J12" s="217">
        <f>+C12*'Receita 19_20_21'!H193</f>
        <v>0</v>
      </c>
      <c r="K12" s="131"/>
      <c r="L12" s="133"/>
      <c r="M12" s="233">
        <f>SUM(D12:J12)</f>
        <v>0</v>
      </c>
      <c r="N12" s="189"/>
      <c r="O12" s="49"/>
      <c r="P12" s="49"/>
      <c r="Q12" s="49"/>
      <c r="R12" s="49"/>
      <c r="S12" s="49"/>
      <c r="T12" s="49"/>
      <c r="U12" s="50"/>
    </row>
    <row r="13" spans="1:21" ht="12.75">
      <c r="A13" s="49"/>
      <c r="B13" s="130" t="s">
        <v>45</v>
      </c>
      <c r="C13" s="211">
        <f>'Cronograma Previsto'!C14</f>
        <v>28059723.600000001</v>
      </c>
      <c r="D13" s="217">
        <f>C13*'Receita 19_20_21'!D194</f>
        <v>3822937.6074008648</v>
      </c>
      <c r="E13" s="131">
        <v>4177711.43</v>
      </c>
      <c r="F13" s="133"/>
      <c r="G13" s="217">
        <f>C13*'Receita 19_20_21'!F194</f>
        <v>3260345.0452821054</v>
      </c>
      <c r="H13" s="131">
        <v>2641084.2999999998</v>
      </c>
      <c r="I13" s="133"/>
      <c r="J13" s="217">
        <f>C13*'Receita 19_20_21'!H194</f>
        <v>3413886.0574172414</v>
      </c>
      <c r="K13" s="131">
        <v>2590341.63</v>
      </c>
      <c r="L13" s="133"/>
      <c r="M13" s="233">
        <f>D13+G13+J13</f>
        <v>10497168.710100211</v>
      </c>
      <c r="N13" s="189">
        <f>E13+H13+K13</f>
        <v>9409137.3599999994</v>
      </c>
      <c r="O13" s="49"/>
      <c r="P13" s="49"/>
      <c r="Q13" s="49"/>
      <c r="R13" s="49"/>
      <c r="S13" s="49"/>
      <c r="T13" s="49"/>
      <c r="U13" s="50"/>
    </row>
    <row r="14" spans="1:21" ht="12.75">
      <c r="A14" s="49"/>
      <c r="B14" s="130" t="s">
        <v>46</v>
      </c>
      <c r="C14" s="211">
        <f>'Cronograma Previsto'!C15</f>
        <v>0</v>
      </c>
      <c r="D14" s="217">
        <f>+C14*'Receita 19_20_21'!D195</f>
        <v>0</v>
      </c>
      <c r="E14" s="131"/>
      <c r="F14" s="133"/>
      <c r="G14" s="217">
        <f>+C14*'Receita 19_20_21'!F195</f>
        <v>0</v>
      </c>
      <c r="H14" s="131"/>
      <c r="I14" s="133"/>
      <c r="J14" s="217"/>
      <c r="K14" s="131"/>
      <c r="L14" s="133"/>
      <c r="M14" s="233">
        <f>SUM(D14:J14)</f>
        <v>0</v>
      </c>
      <c r="N14" s="189"/>
      <c r="O14" s="49"/>
      <c r="P14" s="49"/>
      <c r="Q14" s="49"/>
      <c r="R14" s="49"/>
      <c r="S14" s="49"/>
      <c r="T14" s="49"/>
      <c r="U14" s="50"/>
    </row>
    <row r="15" spans="1:21" ht="12.75">
      <c r="A15" s="49"/>
      <c r="B15" s="130" t="s">
        <v>35</v>
      </c>
      <c r="C15" s="211">
        <f>'Cronograma Previsto'!C16</f>
        <v>23343478.75</v>
      </c>
      <c r="D15" s="217">
        <f>C15*'Receita 19_20_21'!D196</f>
        <v>2195601.0182965584</v>
      </c>
      <c r="E15" s="131">
        <v>1729306.26</v>
      </c>
      <c r="F15" s="133"/>
      <c r="G15" s="217">
        <f>C15*'Receita 19_20_21'!F196</f>
        <v>1981608.3629248815</v>
      </c>
      <c r="H15" s="131">
        <v>1593279.15</v>
      </c>
      <c r="I15" s="133"/>
      <c r="J15" s="217">
        <f>C15*'Receita 19_20_21'!H196</f>
        <v>1861635.2575048332</v>
      </c>
      <c r="K15" s="131">
        <v>1848318.53</v>
      </c>
      <c r="L15" s="133"/>
      <c r="M15" s="233">
        <f>D15+G15+J15</f>
        <v>6038844.6387262726</v>
      </c>
      <c r="N15" s="189">
        <f>E15+H15+K15</f>
        <v>5170903.9400000004</v>
      </c>
      <c r="O15" s="49"/>
      <c r="P15" s="95"/>
      <c r="Q15" s="49"/>
      <c r="R15" s="49"/>
      <c r="S15" s="49"/>
      <c r="T15" s="49"/>
      <c r="U15" s="50"/>
    </row>
    <row r="16" spans="1:21" ht="12.75">
      <c r="A16" s="49"/>
      <c r="B16" s="126" t="s">
        <v>29</v>
      </c>
      <c r="C16" s="210">
        <f>SUM(C18:C21)</f>
        <v>0</v>
      </c>
      <c r="D16" s="216">
        <f>SUM(D18:D21)</f>
        <v>0</v>
      </c>
      <c r="E16" s="127">
        <f>SUM(E18:E21)</f>
        <v>0</v>
      </c>
      <c r="F16" s="129"/>
      <c r="G16" s="216">
        <f>SUM(G18:G21)</f>
        <v>0</v>
      </c>
      <c r="H16" s="127">
        <f>SUM(H18:H21)</f>
        <v>0</v>
      </c>
      <c r="I16" s="129"/>
      <c r="J16" s="216">
        <f>SUM(J18:J21)</f>
        <v>0</v>
      </c>
      <c r="K16" s="127">
        <f>SUM(K18:K21)</f>
        <v>0</v>
      </c>
      <c r="L16" s="129"/>
      <c r="M16" s="216">
        <f>SUM(M18:M21)</f>
        <v>0</v>
      </c>
      <c r="N16" s="129">
        <f>SUM(N18:N21)</f>
        <v>0</v>
      </c>
      <c r="O16" s="49"/>
      <c r="P16" s="49"/>
      <c r="Q16" s="49"/>
      <c r="R16" s="49"/>
      <c r="S16" s="49"/>
      <c r="T16" s="49"/>
      <c r="U16" s="50"/>
    </row>
    <row r="17" spans="1:21" ht="12.75">
      <c r="A17" s="49"/>
      <c r="B17" s="130" t="s">
        <v>47</v>
      </c>
      <c r="C17" s="211">
        <v>0</v>
      </c>
      <c r="D17" s="217"/>
      <c r="E17" s="131"/>
      <c r="F17" s="133"/>
      <c r="G17" s="217"/>
      <c r="H17" s="131"/>
      <c r="I17" s="133"/>
      <c r="J17" s="217"/>
      <c r="K17" s="131"/>
      <c r="L17" s="133"/>
      <c r="M17" s="233"/>
      <c r="N17" s="190"/>
      <c r="O17" s="49"/>
      <c r="P17" s="49"/>
      <c r="Q17" s="49"/>
      <c r="R17" s="49"/>
      <c r="S17" s="49"/>
      <c r="T17" s="49"/>
      <c r="U17" s="50"/>
    </row>
    <row r="18" spans="1:21" ht="12.75">
      <c r="A18" s="49"/>
      <c r="B18" s="130" t="s">
        <v>48</v>
      </c>
      <c r="C18" s="211">
        <v>0</v>
      </c>
      <c r="D18" s="217"/>
      <c r="E18" s="131"/>
      <c r="F18" s="133"/>
      <c r="G18" s="217"/>
      <c r="H18" s="131"/>
      <c r="I18" s="133"/>
      <c r="J18" s="217"/>
      <c r="K18" s="131"/>
      <c r="L18" s="133"/>
      <c r="M18" s="233"/>
      <c r="N18" s="190"/>
      <c r="O18" s="49"/>
      <c r="P18" s="49"/>
      <c r="Q18" s="49"/>
      <c r="R18" s="49"/>
      <c r="S18" s="49"/>
      <c r="T18" s="49"/>
      <c r="U18" s="50"/>
    </row>
    <row r="19" spans="1:21" ht="12.75">
      <c r="A19" s="49"/>
      <c r="B19" s="130" t="s">
        <v>33</v>
      </c>
      <c r="C19" s="211">
        <v>0</v>
      </c>
      <c r="D19" s="217">
        <f>+C19*'Receita 19_20_21'!D200</f>
        <v>0</v>
      </c>
      <c r="E19" s="131"/>
      <c r="F19" s="133"/>
      <c r="G19" s="217">
        <f>+C19*'Receita 19_20_21'!F200</f>
        <v>0</v>
      </c>
      <c r="H19" s="131"/>
      <c r="I19" s="133"/>
      <c r="J19" s="217">
        <f>+C19*'Receita 19_20_21'!H200</f>
        <v>0</v>
      </c>
      <c r="K19" s="131"/>
      <c r="L19" s="133"/>
      <c r="M19" s="233">
        <f>SUM(D19:J19)</f>
        <v>0</v>
      </c>
      <c r="N19" s="190"/>
      <c r="O19" s="49"/>
      <c r="P19" s="49"/>
      <c r="Q19" s="49"/>
      <c r="R19" s="49"/>
      <c r="S19" s="49"/>
      <c r="T19" s="49"/>
      <c r="U19" s="50"/>
    </row>
    <row r="20" spans="1:21" ht="12.75">
      <c r="A20" s="49"/>
      <c r="B20" s="130" t="s">
        <v>49</v>
      </c>
      <c r="C20" s="211">
        <v>0</v>
      </c>
      <c r="D20" s="217">
        <f>+C20*'Receita 19_20_21'!D201</f>
        <v>0</v>
      </c>
      <c r="E20" s="131"/>
      <c r="F20" s="133"/>
      <c r="G20" s="217">
        <f>+C20*'Receita 19_20_21'!F201</f>
        <v>0</v>
      </c>
      <c r="H20" s="131"/>
      <c r="I20" s="133"/>
      <c r="J20" s="217">
        <f>+C20*'Receita 19_20_21'!H201</f>
        <v>0</v>
      </c>
      <c r="K20" s="131"/>
      <c r="L20" s="133"/>
      <c r="M20" s="233">
        <f>SUM(D20:J20)</f>
        <v>0</v>
      </c>
      <c r="N20" s="190"/>
      <c r="O20" s="49"/>
      <c r="P20" s="49"/>
      <c r="Q20" s="49"/>
      <c r="R20" s="49"/>
      <c r="S20" s="49"/>
      <c r="T20" s="49"/>
      <c r="U20" s="50"/>
    </row>
    <row r="21" spans="1:21" ht="13.5" thickBot="1">
      <c r="A21" s="49"/>
      <c r="B21" s="191" t="s">
        <v>34</v>
      </c>
      <c r="C21" s="212">
        <v>0</v>
      </c>
      <c r="D21" s="218">
        <f>+C21*'Receita 19_20_21'!D202</f>
        <v>0</v>
      </c>
      <c r="E21" s="192"/>
      <c r="F21" s="219"/>
      <c r="G21" s="218">
        <f>+C21*'Receita 19_20_21'!F202</f>
        <v>0</v>
      </c>
      <c r="H21" s="192"/>
      <c r="I21" s="219"/>
      <c r="J21" s="218">
        <f>+C21*'Receita 19_20_21'!H202</f>
        <v>0</v>
      </c>
      <c r="K21" s="192"/>
      <c r="L21" s="219"/>
      <c r="M21" s="236">
        <f>SUM(D21:J21)</f>
        <v>0</v>
      </c>
      <c r="N21" s="193"/>
      <c r="O21" s="49"/>
      <c r="P21" s="49"/>
      <c r="Q21" s="49"/>
      <c r="R21" s="49"/>
      <c r="S21" s="49"/>
      <c r="T21" s="49"/>
      <c r="U21" s="50"/>
    </row>
    <row r="22" spans="1:21" ht="13.5" thickBot="1">
      <c r="A22" s="49"/>
      <c r="B22" s="134" t="s">
        <v>16</v>
      </c>
      <c r="C22" s="213">
        <f t="shared" ref="C22:N22" si="1">+C7+C16</f>
        <v>208211049.84999999</v>
      </c>
      <c r="D22" s="220">
        <f t="shared" si="1"/>
        <v>41130582.60233435</v>
      </c>
      <c r="E22" s="135">
        <f t="shared" si="1"/>
        <v>51310753.789999999</v>
      </c>
      <c r="F22" s="137"/>
      <c r="G22" s="220">
        <f t="shared" si="1"/>
        <v>26279499.229827598</v>
      </c>
      <c r="H22" s="135">
        <f t="shared" si="1"/>
        <v>22856188.059999999</v>
      </c>
      <c r="I22" s="137"/>
      <c r="J22" s="220">
        <f t="shared" si="1"/>
        <v>16000101.484198274</v>
      </c>
      <c r="K22" s="135">
        <f t="shared" si="1"/>
        <v>18979244.050000001</v>
      </c>
      <c r="L22" s="137"/>
      <c r="M22" s="220">
        <f t="shared" si="1"/>
        <v>83410183.31636022</v>
      </c>
      <c r="N22" s="137">
        <f t="shared" si="1"/>
        <v>93146185.899999991</v>
      </c>
      <c r="O22" s="95"/>
      <c r="P22" s="49"/>
      <c r="Q22" s="49"/>
      <c r="R22" s="49"/>
      <c r="S22" s="49"/>
      <c r="T22" s="49"/>
      <c r="U22" s="50"/>
    </row>
    <row r="23" spans="1:21" ht="13.5" thickBot="1">
      <c r="A23" s="49"/>
      <c r="B23" s="138" t="s">
        <v>64</v>
      </c>
      <c r="C23" s="214"/>
      <c r="D23" s="221">
        <f>+D22/$M$22</f>
        <v>0.4931122432177526</v>
      </c>
      <c r="E23" s="140">
        <f>+E22/$N$22</f>
        <v>0.55086263913249511</v>
      </c>
      <c r="F23" s="142"/>
      <c r="G23" s="221">
        <f>+G22/$C$22</f>
        <v>0.12621567994955096</v>
      </c>
      <c r="H23" s="140">
        <f>+H22/$N$22</f>
        <v>0.24537975268829554</v>
      </c>
      <c r="I23" s="142"/>
      <c r="J23" s="221">
        <f>+J22/$C$22</f>
        <v>7.6845592468435822E-2</v>
      </c>
      <c r="K23" s="140">
        <f>+K22/$N$22</f>
        <v>0.20375760817920943</v>
      </c>
      <c r="L23" s="142"/>
      <c r="M23" s="221">
        <f>+M22/$C$22</f>
        <v>0.40060401874180468</v>
      </c>
      <c r="N23" s="142">
        <f>+N22/$C$22</f>
        <v>0.44736427757846969</v>
      </c>
      <c r="O23" s="49"/>
      <c r="P23" s="49"/>
      <c r="Q23" s="49"/>
      <c r="R23" s="49"/>
      <c r="S23" s="49"/>
      <c r="T23" s="49"/>
      <c r="U23" s="50"/>
    </row>
    <row r="24" spans="1:21" ht="13.5" thickBot="1">
      <c r="A24" s="49"/>
      <c r="B24" s="143"/>
      <c r="C24" s="144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49"/>
      <c r="O24" s="49"/>
      <c r="P24" s="49"/>
      <c r="Q24" s="49"/>
      <c r="R24" s="49"/>
      <c r="S24" s="49"/>
      <c r="T24" s="49"/>
      <c r="U24" s="50"/>
    </row>
    <row r="25" spans="1:21" ht="15.75" customHeight="1" thickBot="1">
      <c r="A25" s="49"/>
      <c r="B25" s="222" t="s">
        <v>26</v>
      </c>
      <c r="C25" s="195" t="s">
        <v>54</v>
      </c>
      <c r="D25" s="299" t="s">
        <v>2</v>
      </c>
      <c r="E25" s="300"/>
      <c r="F25" s="301"/>
      <c r="G25" s="299" t="s">
        <v>3</v>
      </c>
      <c r="H25" s="300"/>
      <c r="I25" s="301"/>
      <c r="J25" s="299" t="s">
        <v>4</v>
      </c>
      <c r="K25" s="300"/>
      <c r="L25" s="301"/>
      <c r="M25" s="297" t="s">
        <v>61</v>
      </c>
      <c r="N25" s="298"/>
      <c r="O25" s="49"/>
      <c r="P25" s="49"/>
      <c r="Q25" s="49"/>
      <c r="R25" s="49"/>
      <c r="S25" s="49"/>
      <c r="T25" s="49"/>
      <c r="U25" s="50"/>
    </row>
    <row r="26" spans="1:21" ht="13.5" thickBot="1">
      <c r="A26" s="49"/>
      <c r="B26" s="223"/>
      <c r="C26" s="229"/>
      <c r="D26" s="194" t="s">
        <v>97</v>
      </c>
      <c r="E26" s="194" t="s">
        <v>99</v>
      </c>
      <c r="F26" s="232"/>
      <c r="G26" s="194" t="s">
        <v>97</v>
      </c>
      <c r="H26" s="194" t="s">
        <v>99</v>
      </c>
      <c r="I26" s="232"/>
      <c r="J26" s="194" t="s">
        <v>97</v>
      </c>
      <c r="K26" s="194" t="s">
        <v>99</v>
      </c>
      <c r="L26" s="232"/>
      <c r="M26" s="194" t="s">
        <v>97</v>
      </c>
      <c r="N26" s="194" t="s">
        <v>99</v>
      </c>
      <c r="O26" s="49"/>
      <c r="P26" s="49"/>
      <c r="Q26" s="49"/>
      <c r="R26" s="49"/>
      <c r="S26" s="49"/>
      <c r="T26" s="49"/>
      <c r="U26" s="50"/>
    </row>
    <row r="27" spans="1:21" ht="12.75">
      <c r="A27" s="49"/>
      <c r="B27" s="224" t="s">
        <v>18</v>
      </c>
      <c r="C27" s="210">
        <f>SUM(C28:C30)</f>
        <v>199350668.44</v>
      </c>
      <c r="D27" s="216">
        <f>SUM(D28:D30)</f>
        <v>25313285.625335589</v>
      </c>
      <c r="E27" s="127">
        <f>SUM(E28:E30)</f>
        <v>14620469.52</v>
      </c>
      <c r="F27" s="129"/>
      <c r="G27" s="216">
        <f>SUM(G28:G30)</f>
        <v>17445995.431021452</v>
      </c>
      <c r="H27" s="127">
        <f>SUM(H28:H30)</f>
        <v>12770757.23</v>
      </c>
      <c r="I27" s="129"/>
      <c r="J27" s="216">
        <f>SUM(J28:J30)</f>
        <v>17658203.058951568</v>
      </c>
      <c r="K27" s="127">
        <f>SUM(K28:K30)</f>
        <v>12170940.239999998</v>
      </c>
      <c r="L27" s="127"/>
      <c r="M27" s="132">
        <f>D27+G27+J27</f>
        <v>60417484.115308613</v>
      </c>
      <c r="N27" s="132">
        <f>E27+H27+K27</f>
        <v>39562166.989999995</v>
      </c>
      <c r="O27" s="95"/>
      <c r="P27" s="49"/>
      <c r="Q27" s="49"/>
      <c r="R27" s="49"/>
      <c r="S27" s="49"/>
      <c r="T27" s="49"/>
      <c r="U27" s="50"/>
    </row>
    <row r="28" spans="1:21" ht="12.75">
      <c r="A28" s="49"/>
      <c r="B28" s="225" t="s">
        <v>19</v>
      </c>
      <c r="C28" s="211">
        <f>'Cronograma Previsto'!C28</f>
        <v>91444096.409999996</v>
      </c>
      <c r="D28" s="217">
        <f>+C28*'Despesa 19_20_21'!D135</f>
        <v>4809689.193323385</v>
      </c>
      <c r="E28" s="131">
        <v>1572021.27</v>
      </c>
      <c r="F28" s="133"/>
      <c r="G28" s="217">
        <f>+C28*'Despesa 19_20_21'!F135</f>
        <v>7284644.1169280577</v>
      </c>
      <c r="H28" s="131">
        <v>6484605.4800000004</v>
      </c>
      <c r="I28" s="133"/>
      <c r="J28" s="217">
        <f>+C28*'Despesa 19_20_21'!H135</f>
        <v>7576176.1325341789</v>
      </c>
      <c r="K28" s="131">
        <v>5258047.1399999997</v>
      </c>
      <c r="L28" s="131"/>
      <c r="M28" s="233">
        <f>D28+G28+J28</f>
        <v>19670509.442785621</v>
      </c>
      <c r="N28" s="189">
        <f>E28+H28+K28</f>
        <v>13314673.890000001</v>
      </c>
      <c r="O28" s="95"/>
      <c r="P28" s="49"/>
      <c r="Q28" s="49"/>
      <c r="R28" s="49"/>
      <c r="S28" s="49"/>
      <c r="T28" s="49"/>
      <c r="U28" s="50"/>
    </row>
    <row r="29" spans="1:21" ht="12.75">
      <c r="A29" s="49"/>
      <c r="B29" s="225" t="s">
        <v>20</v>
      </c>
      <c r="C29" s="211">
        <v>0</v>
      </c>
      <c r="D29" s="217">
        <f>+C29*'Despesa 19_20_21'!D136</f>
        <v>0</v>
      </c>
      <c r="E29" s="131"/>
      <c r="F29" s="133"/>
      <c r="G29" s="217">
        <f>+C29*'Despesa 19_20_21'!F136</f>
        <v>0</v>
      </c>
      <c r="H29" s="131"/>
      <c r="I29" s="133"/>
      <c r="J29" s="217">
        <f>+C29*'Despesa 19_20_21'!H136</f>
        <v>0</v>
      </c>
      <c r="K29" s="131"/>
      <c r="L29" s="131"/>
      <c r="M29" s="233">
        <f>SUM(D29:J29)</f>
        <v>0</v>
      </c>
      <c r="N29" s="189"/>
      <c r="O29" s="49"/>
      <c r="P29" s="49"/>
      <c r="Q29" s="49"/>
      <c r="R29" s="49"/>
      <c r="S29" s="49"/>
      <c r="T29" s="49"/>
      <c r="U29" s="50"/>
    </row>
    <row r="30" spans="1:21" ht="12.75">
      <c r="A30" s="49"/>
      <c r="B30" s="225" t="s">
        <v>21</v>
      </c>
      <c r="C30" s="211">
        <f>'Cronograma Previsto'!C30</f>
        <v>107906572.03</v>
      </c>
      <c r="D30" s="217">
        <f>'Cronograma Previsto'!D30</f>
        <v>20503596.432012204</v>
      </c>
      <c r="E30" s="131">
        <v>13048448.25</v>
      </c>
      <c r="F30" s="133"/>
      <c r="G30" s="217">
        <f>+C30*'Despesa 19_20_21'!F137</f>
        <v>10161351.314093392</v>
      </c>
      <c r="H30" s="131">
        <v>6286151.75</v>
      </c>
      <c r="I30" s="133"/>
      <c r="J30" s="217">
        <f>'Cronograma Previsto'!F30</f>
        <v>10082026.92641739</v>
      </c>
      <c r="K30" s="131">
        <v>6912893.0999999996</v>
      </c>
      <c r="L30" s="131"/>
      <c r="M30" s="233">
        <f>D30+G30+J30</f>
        <v>40746974.672522984</v>
      </c>
      <c r="N30" s="189">
        <f>E30+H30+K30</f>
        <v>26247493.100000001</v>
      </c>
      <c r="O30" s="95"/>
      <c r="P30" s="49"/>
      <c r="Q30" s="49"/>
      <c r="R30" s="49"/>
      <c r="S30" s="49"/>
      <c r="T30" s="49"/>
      <c r="U30" s="50"/>
    </row>
    <row r="31" spans="1:21" ht="12.75">
      <c r="A31" s="49"/>
      <c r="B31" s="225" t="s">
        <v>74</v>
      </c>
      <c r="C31" s="211"/>
      <c r="D31" s="217"/>
      <c r="E31" s="131"/>
      <c r="F31" s="133"/>
      <c r="G31" s="217"/>
      <c r="H31" s="131"/>
      <c r="I31" s="133"/>
      <c r="J31" s="217"/>
      <c r="K31" s="131"/>
      <c r="L31" s="131"/>
      <c r="M31" s="233"/>
      <c r="N31" s="189"/>
      <c r="O31" s="49"/>
      <c r="P31" s="49"/>
      <c r="Q31" s="49"/>
      <c r="R31" s="49"/>
      <c r="S31" s="49"/>
      <c r="T31" s="49"/>
      <c r="U31" s="50"/>
    </row>
    <row r="32" spans="1:21" ht="12.75">
      <c r="A32" s="49"/>
      <c r="B32" s="225" t="s">
        <v>75</v>
      </c>
      <c r="C32" s="211"/>
      <c r="D32" s="217"/>
      <c r="E32" s="131"/>
      <c r="F32" s="133"/>
      <c r="G32" s="217"/>
      <c r="H32" s="131"/>
      <c r="I32" s="133"/>
      <c r="J32" s="217"/>
      <c r="K32" s="131"/>
      <c r="L32" s="131"/>
      <c r="M32" s="233"/>
      <c r="N32" s="189"/>
      <c r="O32" s="49"/>
      <c r="P32" s="49"/>
      <c r="Q32" s="49"/>
      <c r="R32" s="49"/>
      <c r="S32" s="49"/>
      <c r="T32" s="49"/>
      <c r="U32" s="50"/>
    </row>
    <row r="33" spans="1:21" ht="12.75">
      <c r="A33" s="49"/>
      <c r="B33" s="224" t="s">
        <v>22</v>
      </c>
      <c r="C33" s="210">
        <f>SUM(C34:C36)</f>
        <v>6629824.0199999996</v>
      </c>
      <c r="D33" s="216">
        <f>SUM(D34:D36)</f>
        <v>1300000</v>
      </c>
      <c r="E33" s="127">
        <f>SUM(E34:E36)</f>
        <v>0</v>
      </c>
      <c r="F33" s="129"/>
      <c r="G33" s="216">
        <f>SUM(G34:G36)</f>
        <v>6810.15780347279</v>
      </c>
      <c r="H33" s="127">
        <f>SUM(H34:H36)</f>
        <v>0</v>
      </c>
      <c r="I33" s="129"/>
      <c r="J33" s="216">
        <f>SUM(J34:J36)</f>
        <v>1501690.1573457709</v>
      </c>
      <c r="K33" s="127">
        <f>SUM(K34:K36)</f>
        <v>0</v>
      </c>
      <c r="L33" s="127"/>
      <c r="M33" s="233">
        <f>D33+G33+J33</f>
        <v>2808500.3151492439</v>
      </c>
      <c r="N33" s="189">
        <f>E33+H33+K33</f>
        <v>0</v>
      </c>
      <c r="O33" s="49"/>
      <c r="P33" s="95"/>
      <c r="Q33" s="49"/>
      <c r="R33" s="49"/>
      <c r="S33" s="49"/>
      <c r="T33" s="49"/>
      <c r="U33" s="50"/>
    </row>
    <row r="34" spans="1:21" ht="12.75">
      <c r="A34" s="49"/>
      <c r="B34" s="226" t="s">
        <v>23</v>
      </c>
      <c r="C34" s="211">
        <f>'Cronograma Previsto'!C32</f>
        <v>6629824.0199999996</v>
      </c>
      <c r="D34" s="217">
        <f>+C34*'Despesa 19_20_21'!D139+1300000</f>
        <v>1300000</v>
      </c>
      <c r="E34" s="131">
        <v>0</v>
      </c>
      <c r="F34" s="133"/>
      <c r="G34" s="217">
        <f>+C34*'Despesa 19_20_21'!F139</f>
        <v>6810.15780347279</v>
      </c>
      <c r="H34" s="131">
        <v>0</v>
      </c>
      <c r="I34" s="133"/>
      <c r="J34" s="217">
        <f>+C34*'Despesa 19_20_21'!H139+1500000</f>
        <v>1501690.1573457709</v>
      </c>
      <c r="K34" s="131">
        <v>0</v>
      </c>
      <c r="L34" s="131"/>
      <c r="M34" s="233">
        <f>D34+G34+J34</f>
        <v>2808500.3151492439</v>
      </c>
      <c r="N34" s="189">
        <f>E34+H34+K34</f>
        <v>0</v>
      </c>
      <c r="O34" s="95"/>
      <c r="P34" s="95"/>
      <c r="Q34" s="49"/>
      <c r="R34" s="49"/>
      <c r="S34" s="49"/>
      <c r="T34" s="49"/>
      <c r="U34" s="50"/>
    </row>
    <row r="35" spans="1:21" ht="12.75">
      <c r="A35" s="49"/>
      <c r="B35" s="225" t="s">
        <v>24</v>
      </c>
      <c r="C35" s="211">
        <v>0</v>
      </c>
      <c r="D35" s="217">
        <f>+C35*'Despesa 19_20_21'!D140</f>
        <v>0</v>
      </c>
      <c r="E35" s="131"/>
      <c r="F35" s="133"/>
      <c r="G35" s="217">
        <f>+C35*'Despesa 19_20_21'!F140</f>
        <v>0</v>
      </c>
      <c r="H35" s="131"/>
      <c r="I35" s="133"/>
      <c r="J35" s="217">
        <f>+C35*'Despesa 19_20_21'!H140</f>
        <v>0</v>
      </c>
      <c r="K35" s="131"/>
      <c r="L35" s="131"/>
      <c r="M35" s="233">
        <f>SUM(D35:J35)</f>
        <v>0</v>
      </c>
      <c r="N35" s="189"/>
      <c r="O35" s="49"/>
      <c r="P35" s="95"/>
      <c r="Q35" s="49"/>
      <c r="R35" s="49"/>
      <c r="S35" s="49"/>
      <c r="T35" s="49"/>
      <c r="U35" s="50"/>
    </row>
    <row r="36" spans="1:21" ht="12.75">
      <c r="A36" s="49"/>
      <c r="B36" s="225" t="s">
        <v>25</v>
      </c>
      <c r="C36" s="211">
        <v>0</v>
      </c>
      <c r="D36" s="217">
        <f>+C36*'Despesa 19_20_21'!D141</f>
        <v>0</v>
      </c>
      <c r="E36" s="131"/>
      <c r="F36" s="133"/>
      <c r="G36" s="217">
        <f>+C36*'Despesa 19_20_21'!F141</f>
        <v>0</v>
      </c>
      <c r="H36" s="131"/>
      <c r="I36" s="133"/>
      <c r="J36" s="217">
        <f>+C36*'Despesa 19_20_21'!H141</f>
        <v>0</v>
      </c>
      <c r="K36" s="131"/>
      <c r="L36" s="131"/>
      <c r="M36" s="233">
        <f>SUM(D36:J36)</f>
        <v>0</v>
      </c>
      <c r="N36" s="189"/>
      <c r="O36" s="49"/>
      <c r="P36" s="95"/>
      <c r="Q36" s="49"/>
      <c r="R36" s="49"/>
      <c r="S36" s="49"/>
      <c r="T36" s="49"/>
      <c r="U36" s="50"/>
    </row>
    <row r="37" spans="1:21" ht="13.5" thickBot="1">
      <c r="A37" s="49"/>
      <c r="B37" s="225" t="s">
        <v>76</v>
      </c>
      <c r="C37" s="211"/>
      <c r="D37" s="217"/>
      <c r="E37" s="131"/>
      <c r="F37" s="133"/>
      <c r="G37" s="217"/>
      <c r="H37" s="131"/>
      <c r="I37" s="133"/>
      <c r="J37" s="217"/>
      <c r="K37" s="131"/>
      <c r="L37" s="131"/>
      <c r="M37" s="233"/>
      <c r="N37" s="189"/>
      <c r="O37" s="49"/>
      <c r="P37" s="95"/>
      <c r="Q37" s="49"/>
      <c r="R37" s="49"/>
      <c r="S37" s="49"/>
      <c r="T37" s="49"/>
      <c r="U37" s="50"/>
    </row>
    <row r="38" spans="1:21" ht="13.5" thickBot="1">
      <c r="A38" s="49"/>
      <c r="B38" s="227" t="s">
        <v>17</v>
      </c>
      <c r="C38" s="230">
        <f t="shared" ref="C38:N38" si="2">+C27+C33</f>
        <v>205980492.46000001</v>
      </c>
      <c r="D38" s="220">
        <f t="shared" si="2"/>
        <v>26613285.625335589</v>
      </c>
      <c r="E38" s="135">
        <f t="shared" si="2"/>
        <v>14620469.52</v>
      </c>
      <c r="F38" s="137"/>
      <c r="G38" s="220">
        <f t="shared" si="2"/>
        <v>17452805.588824924</v>
      </c>
      <c r="H38" s="135">
        <f t="shared" si="2"/>
        <v>12770757.23</v>
      </c>
      <c r="I38" s="137"/>
      <c r="J38" s="220">
        <f t="shared" si="2"/>
        <v>19159893.21629734</v>
      </c>
      <c r="K38" s="135">
        <f t="shared" si="2"/>
        <v>12170940.239999998</v>
      </c>
      <c r="L38" s="135"/>
      <c r="M38" s="237">
        <f t="shared" si="2"/>
        <v>63225984.43045786</v>
      </c>
      <c r="N38" s="238">
        <f t="shared" si="2"/>
        <v>39562166.989999995</v>
      </c>
      <c r="O38" s="95"/>
      <c r="P38" s="49"/>
      <c r="Q38" s="49"/>
      <c r="R38" s="49"/>
      <c r="S38" s="49"/>
      <c r="T38" s="49"/>
      <c r="U38" s="50"/>
    </row>
    <row r="39" spans="1:21" ht="13.5" thickBot="1">
      <c r="A39" s="49"/>
      <c r="B39" s="228" t="s">
        <v>64</v>
      </c>
      <c r="C39" s="231"/>
      <c r="D39" s="221">
        <f>+D38/$M$38</f>
        <v>0.42092323061584735</v>
      </c>
      <c r="E39" s="140">
        <f>+E38/$N$38</f>
        <v>0.36955684261925215</v>
      </c>
      <c r="F39" s="142"/>
      <c r="G39" s="221">
        <f>+G38/$M$38</f>
        <v>0.27603849502764533</v>
      </c>
      <c r="H39" s="140">
        <f>+H38/$N$38</f>
        <v>0.32280226796545358</v>
      </c>
      <c r="I39" s="142"/>
      <c r="J39" s="221">
        <f>+J38/$M$38</f>
        <v>0.30303827435650715</v>
      </c>
      <c r="K39" s="140">
        <f>+K38/$N$38</f>
        <v>0.30764088941529438</v>
      </c>
      <c r="L39" s="140"/>
      <c r="M39" s="239">
        <v>1</v>
      </c>
      <c r="N39" s="240">
        <v>1</v>
      </c>
      <c r="O39" s="49"/>
      <c r="P39" s="95"/>
      <c r="Q39" s="49"/>
      <c r="R39" s="49"/>
      <c r="S39" s="49"/>
      <c r="T39" s="49"/>
      <c r="U39" s="50"/>
    </row>
    <row r="40" spans="1:21" ht="13.5" thickBot="1">
      <c r="A40" s="49"/>
      <c r="B40" s="154"/>
      <c r="C40" s="154"/>
      <c r="D40" s="154"/>
      <c r="E40" s="154"/>
      <c r="F40" s="154"/>
      <c r="G40" s="119"/>
      <c r="H40" s="119"/>
      <c r="I40" s="119"/>
      <c r="J40" s="119"/>
      <c r="K40" s="119"/>
      <c r="L40" s="119"/>
      <c r="M40" s="233"/>
      <c r="N40" s="189"/>
      <c r="O40" s="49"/>
      <c r="P40" s="49"/>
      <c r="Q40" s="49"/>
      <c r="R40" s="49"/>
      <c r="S40" s="49"/>
      <c r="T40" s="49"/>
      <c r="U40" s="50"/>
    </row>
    <row r="41" spans="1:21" ht="13.5" thickBot="1">
      <c r="A41" s="49"/>
      <c r="B41" s="134" t="s">
        <v>66</v>
      </c>
      <c r="C41" s="152"/>
      <c r="D41" s="135">
        <f>+D22-D38</f>
        <v>14517296.976998761</v>
      </c>
      <c r="E41" s="135">
        <f>+E22-E38</f>
        <v>36690284.269999996</v>
      </c>
      <c r="F41" s="135"/>
      <c r="G41" s="135">
        <f>+D41+G22-G38</f>
        <v>23343990.618001435</v>
      </c>
      <c r="H41" s="135">
        <f>+E41+H22-H38</f>
        <v>46775715.099999994</v>
      </c>
      <c r="I41" s="135"/>
      <c r="J41" s="135">
        <f>+G41+J22-J38</f>
        <v>20184198.885902371</v>
      </c>
      <c r="K41" s="135">
        <f>+H41+K22-K38</f>
        <v>53584018.909999996</v>
      </c>
      <c r="L41" s="135"/>
      <c r="M41" s="241">
        <f>+M22-M38</f>
        <v>20184198.88590236</v>
      </c>
      <c r="N41" s="238">
        <f>+N22-N38</f>
        <v>53584018.909999996</v>
      </c>
      <c r="O41" s="49"/>
      <c r="P41" s="49"/>
      <c r="Q41" s="49"/>
      <c r="R41" s="49"/>
      <c r="S41" s="49"/>
      <c r="T41" s="49"/>
      <c r="U41" s="50"/>
    </row>
    <row r="42" spans="1:21" ht="12.75">
      <c r="A42" s="49"/>
      <c r="B42" s="197" t="s">
        <v>96</v>
      </c>
      <c r="C42" s="197"/>
      <c r="D42" s="197"/>
      <c r="E42" s="197"/>
      <c r="F42" s="197"/>
      <c r="G42" s="197"/>
      <c r="H42" s="197"/>
      <c r="I42" s="197"/>
      <c r="J42" s="196"/>
      <c r="K42" s="196"/>
      <c r="L42" s="196"/>
      <c r="M42" s="196"/>
      <c r="N42" s="198"/>
      <c r="O42" s="49"/>
      <c r="P42" s="49"/>
      <c r="Q42" s="49"/>
      <c r="R42" s="49"/>
      <c r="S42" s="49"/>
      <c r="T42" s="49"/>
      <c r="U42" s="50"/>
    </row>
    <row r="43" spans="1:21" ht="12.75">
      <c r="A43" s="49"/>
      <c r="B43" s="197" t="s">
        <v>95</v>
      </c>
      <c r="C43" s="197"/>
      <c r="D43" s="197"/>
      <c r="E43" s="197"/>
      <c r="F43" s="197"/>
      <c r="G43" s="197"/>
      <c r="H43" s="197"/>
      <c r="I43" s="197"/>
      <c r="J43" s="196"/>
      <c r="K43" s="196"/>
      <c r="L43" s="196"/>
      <c r="M43" s="196"/>
      <c r="N43" s="198"/>
      <c r="O43" s="95"/>
      <c r="P43" s="49"/>
      <c r="Q43" s="49"/>
      <c r="R43" s="49"/>
      <c r="S43" s="49"/>
      <c r="T43" s="49"/>
      <c r="U43" s="50"/>
    </row>
    <row r="44" spans="1:21" ht="12.75">
      <c r="A44" s="49"/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8"/>
      <c r="O44" s="49"/>
      <c r="P44" s="49"/>
      <c r="Q44" s="49"/>
      <c r="R44" s="49"/>
      <c r="S44" s="49"/>
      <c r="T44" s="49"/>
      <c r="U44" s="50"/>
    </row>
    <row r="45" spans="1:21" ht="15">
      <c r="A45" s="49"/>
      <c r="B45" s="198"/>
      <c r="C45" s="198"/>
      <c r="D45" s="199"/>
      <c r="E45" s="199"/>
      <c r="F45" s="199"/>
      <c r="G45" s="199"/>
      <c r="H45" s="199"/>
      <c r="I45" s="199"/>
      <c r="J45" s="199"/>
      <c r="K45" s="199"/>
      <c r="L45" s="199"/>
      <c r="M45" s="198"/>
      <c r="N45" s="198"/>
      <c r="O45" s="49"/>
      <c r="P45" s="49"/>
      <c r="Q45" s="49"/>
      <c r="R45" s="49"/>
      <c r="S45" s="49"/>
      <c r="T45" s="49"/>
      <c r="U45" s="50"/>
    </row>
    <row r="46" spans="1:21" ht="18.75" customHeight="1">
      <c r="A46" s="49"/>
      <c r="B46" s="198"/>
      <c r="C46" s="200"/>
      <c r="D46" s="199"/>
      <c r="E46" s="199"/>
      <c r="F46" s="199"/>
      <c r="G46" s="199"/>
      <c r="H46" s="199"/>
      <c r="I46" s="199"/>
      <c r="J46" s="199"/>
      <c r="K46" s="199"/>
      <c r="L46" s="199"/>
      <c r="M46" s="198"/>
      <c r="N46" s="198"/>
      <c r="O46" s="49"/>
      <c r="P46" s="49"/>
      <c r="Q46" s="49"/>
      <c r="R46" s="49"/>
      <c r="S46" s="49"/>
      <c r="T46" s="49"/>
      <c r="U46" s="50"/>
    </row>
    <row r="47" spans="1:21" ht="18.75" customHeight="1">
      <c r="A47" s="49"/>
      <c r="B47" s="206" t="s">
        <v>81</v>
      </c>
      <c r="C47" s="234"/>
      <c r="D47" s="292" t="s">
        <v>101</v>
      </c>
      <c r="E47" s="292"/>
      <c r="F47" s="206"/>
      <c r="H47" s="292" t="s">
        <v>103</v>
      </c>
      <c r="I47" s="292"/>
      <c r="J47" s="292"/>
      <c r="L47" s="292" t="s">
        <v>105</v>
      </c>
      <c r="M47" s="292"/>
      <c r="N47" s="292"/>
      <c r="O47" s="49"/>
      <c r="P47" s="49"/>
      <c r="Q47" s="49"/>
      <c r="R47" s="49"/>
      <c r="S47" s="49"/>
      <c r="T47" s="49"/>
      <c r="U47" s="50"/>
    </row>
    <row r="48" spans="1:21" ht="15.75">
      <c r="A48" s="49"/>
      <c r="B48" s="208" t="s">
        <v>100</v>
      </c>
      <c r="C48" s="208"/>
      <c r="D48" s="291" t="s">
        <v>102</v>
      </c>
      <c r="E48" s="291"/>
      <c r="F48" s="291"/>
      <c r="G48" s="235"/>
      <c r="H48" s="291" t="s">
        <v>87</v>
      </c>
      <c r="I48" s="291"/>
      <c r="J48" s="291"/>
      <c r="K48" s="207"/>
      <c r="L48" s="207"/>
      <c r="M48" s="291" t="s">
        <v>104</v>
      </c>
      <c r="N48" s="291"/>
      <c r="O48" s="49"/>
      <c r="P48" s="49"/>
      <c r="Q48" s="49"/>
      <c r="R48" s="49"/>
      <c r="S48" s="49"/>
      <c r="T48" s="49"/>
      <c r="U48" s="50"/>
    </row>
    <row r="49" spans="1:21" ht="15">
      <c r="A49" s="49"/>
      <c r="B49" s="198"/>
      <c r="C49" s="198"/>
      <c r="D49" s="199"/>
      <c r="E49" s="199"/>
      <c r="F49" s="199"/>
      <c r="G49" s="199"/>
      <c r="H49" s="199"/>
      <c r="I49" s="199"/>
      <c r="J49" s="199"/>
      <c r="K49" s="199"/>
      <c r="L49" s="199"/>
      <c r="M49" s="198"/>
      <c r="N49" s="198"/>
      <c r="O49" s="49"/>
      <c r="P49" s="49"/>
      <c r="Q49" s="49"/>
      <c r="R49" s="49"/>
      <c r="S49" s="49"/>
      <c r="T49" s="49"/>
      <c r="U49" s="50"/>
    </row>
    <row r="50" spans="1:21">
      <c r="A50" s="49"/>
      <c r="B50" s="201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49"/>
      <c r="P50" s="49"/>
      <c r="Q50" s="49"/>
      <c r="R50" s="49"/>
      <c r="S50" s="49"/>
      <c r="T50" s="49"/>
      <c r="U50" s="50"/>
    </row>
    <row r="51" spans="1:21">
      <c r="A51" s="49"/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49"/>
      <c r="P51" s="49"/>
      <c r="Q51" s="49"/>
      <c r="R51" s="49"/>
      <c r="S51" s="49"/>
      <c r="T51" s="49"/>
      <c r="U51" s="50"/>
    </row>
    <row r="52" spans="1:21">
      <c r="A52" s="49"/>
      <c r="B52" s="202"/>
      <c r="C52" s="202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97"/>
      <c r="P52" s="97"/>
      <c r="Q52" s="97"/>
      <c r="R52" s="97"/>
      <c r="S52" s="98"/>
      <c r="T52" s="99"/>
      <c r="U52" s="50"/>
    </row>
    <row r="53" spans="1:21">
      <c r="A53" s="49"/>
      <c r="B53" s="198"/>
      <c r="C53" s="198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5"/>
      <c r="O53" s="101"/>
      <c r="P53" s="101"/>
      <c r="Q53" s="102"/>
      <c r="R53" s="49"/>
      <c r="S53" s="49"/>
      <c r="T53" s="103"/>
      <c r="U53" s="100"/>
    </row>
    <row r="54" spans="1:21" ht="48.75" customHeight="1">
      <c r="A54" s="104"/>
      <c r="B54" s="198"/>
      <c r="C54" s="198"/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101"/>
      <c r="O54" s="101"/>
      <c r="P54" s="101"/>
      <c r="Q54" s="102"/>
      <c r="R54" s="49"/>
      <c r="S54" s="49"/>
      <c r="T54" s="103"/>
      <c r="U54" s="100"/>
    </row>
    <row r="55" spans="1:21" ht="48.75" customHeight="1">
      <c r="A55" s="104"/>
      <c r="B55" s="102"/>
      <c r="C55" s="102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01"/>
      <c r="O55" s="101"/>
      <c r="P55" s="101"/>
      <c r="Q55" s="102"/>
      <c r="R55" s="49"/>
      <c r="S55" s="49"/>
      <c r="T55" s="103"/>
      <c r="U55" s="100"/>
    </row>
    <row r="56" spans="1:21" ht="48.75" customHeight="1">
      <c r="A56" s="104"/>
      <c r="B56" s="102"/>
      <c r="C56" s="102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01"/>
      <c r="O56" s="101"/>
      <c r="P56" s="101"/>
      <c r="Q56" s="102"/>
      <c r="R56" s="49"/>
      <c r="S56" s="49"/>
      <c r="T56" s="103"/>
      <c r="U56" s="100"/>
    </row>
    <row r="57" spans="1:21" ht="29.25" customHeight="1">
      <c r="A57" s="104"/>
      <c r="B57" s="102"/>
      <c r="C57" s="102"/>
      <c r="D57" s="163"/>
      <c r="E57" s="163"/>
      <c r="F57" s="163"/>
      <c r="G57" s="164"/>
      <c r="H57" s="164"/>
      <c r="I57" s="164"/>
      <c r="J57" s="164"/>
      <c r="K57" s="164"/>
      <c r="L57" s="164"/>
      <c r="M57" s="164"/>
      <c r="N57" s="101"/>
      <c r="O57" s="101"/>
      <c r="P57" s="101"/>
      <c r="Q57" s="102"/>
      <c r="R57" s="49"/>
      <c r="S57" s="49"/>
      <c r="T57" s="103"/>
      <c r="U57" s="100"/>
    </row>
    <row r="58" spans="1:21" ht="18.75" customHeight="1">
      <c r="A58" s="104"/>
      <c r="B58" s="102"/>
      <c r="C58" s="102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1"/>
      <c r="O58" s="101"/>
      <c r="P58" s="101"/>
      <c r="Q58" s="102"/>
      <c r="R58" s="49"/>
      <c r="S58" s="49"/>
      <c r="T58" s="103"/>
      <c r="U58" s="100"/>
    </row>
    <row r="59" spans="1:21" ht="15.75" customHeight="1">
      <c r="A59" s="104"/>
      <c r="B59" s="49"/>
      <c r="C59" s="49"/>
      <c r="D59" s="284"/>
      <c r="E59" s="284"/>
      <c r="F59" s="284"/>
      <c r="G59" s="284"/>
      <c r="H59" s="284"/>
      <c r="I59" s="284"/>
      <c r="J59" s="284"/>
      <c r="K59" s="284"/>
      <c r="L59" s="284"/>
      <c r="M59" s="284"/>
      <c r="N59" s="49"/>
      <c r="O59" s="49"/>
      <c r="P59" s="49"/>
      <c r="Q59" s="49"/>
      <c r="R59" s="49"/>
      <c r="S59" s="49"/>
      <c r="T59" s="49"/>
      <c r="U59" s="104"/>
    </row>
    <row r="60" spans="1:21">
      <c r="D60" s="284"/>
      <c r="E60" s="284"/>
      <c r="F60" s="284"/>
      <c r="G60" s="284"/>
      <c r="H60" s="284"/>
      <c r="I60" s="284"/>
      <c r="J60" s="284"/>
      <c r="K60" s="284"/>
      <c r="L60" s="284"/>
      <c r="M60" s="284"/>
    </row>
    <row r="61" spans="1:21" ht="18.75">
      <c r="D61" s="168"/>
      <c r="E61" s="168"/>
      <c r="F61" s="168"/>
      <c r="J61" s="182"/>
      <c r="K61" s="182"/>
      <c r="L61" s="182"/>
      <c r="M61" s="168"/>
    </row>
    <row r="62" spans="1:21" ht="15.75">
      <c r="D62" s="162"/>
      <c r="E62" s="162"/>
      <c r="F62" s="162"/>
      <c r="G62" s="162"/>
      <c r="H62" s="162"/>
      <c r="I62" s="162"/>
      <c r="J62" s="162"/>
      <c r="K62" s="162"/>
      <c r="L62" s="162"/>
      <c r="M62" s="162"/>
    </row>
  </sheetData>
  <mergeCells count="18">
    <mergeCell ref="B1:M1"/>
    <mergeCell ref="B2:M2"/>
    <mergeCell ref="D48:F48"/>
    <mergeCell ref="H47:J47"/>
    <mergeCell ref="G25:I25"/>
    <mergeCell ref="J25:L25"/>
    <mergeCell ref="J5:L5"/>
    <mergeCell ref="M5:N5"/>
    <mergeCell ref="H48:J48"/>
    <mergeCell ref="L47:N47"/>
    <mergeCell ref="D54:M54"/>
    <mergeCell ref="D59:M60"/>
    <mergeCell ref="D5:F5"/>
    <mergeCell ref="G5:I5"/>
    <mergeCell ref="M25:N25"/>
    <mergeCell ref="D25:F25"/>
    <mergeCell ref="M48:N48"/>
    <mergeCell ref="D47:E47"/>
  </mergeCells>
  <pageMargins left="0.51181102362204722" right="0.51181102362204722" top="0.78740157480314965" bottom="0.78740157480314965" header="0.31496062992125984" footer="0.31496062992125984"/>
  <pageSetup paperSize="9" scale="7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D64"/>
  <sheetViews>
    <sheetView tabSelected="1" topLeftCell="A16" workbookViewId="0">
      <selection activeCell="J71" sqref="J71"/>
    </sheetView>
  </sheetViews>
  <sheetFormatPr defaultRowHeight="11.25"/>
  <cols>
    <col min="1" max="1" width="1.5703125" style="51" customWidth="1"/>
    <col min="2" max="2" width="38" style="51" customWidth="1"/>
    <col min="3" max="3" width="14.7109375" style="51" bestFit="1" customWidth="1"/>
    <col min="4" max="4" width="14.7109375" style="51" customWidth="1"/>
    <col min="5" max="5" width="13.5703125" style="51" bestFit="1" customWidth="1"/>
    <col min="6" max="6" width="15.28515625" style="51" bestFit="1" customWidth="1"/>
    <col min="7" max="7" width="13.5703125" style="51" bestFit="1" customWidth="1"/>
    <col min="8" max="8" width="15.28515625" style="51" bestFit="1" customWidth="1"/>
    <col min="9" max="10" width="14.28515625" style="51" bestFit="1" customWidth="1"/>
    <col min="11" max="11" width="13.28515625" style="51" bestFit="1" customWidth="1"/>
    <col min="12" max="20" width="13.5703125" style="51" bestFit="1" customWidth="1"/>
    <col min="21" max="21" width="14.5703125" style="51" bestFit="1" customWidth="1"/>
    <col min="22" max="22" width="14.7109375" style="51" bestFit="1" customWidth="1"/>
    <col min="23" max="25" width="12.85546875" style="51" bestFit="1" customWidth="1"/>
    <col min="26" max="16384" width="9.140625" style="51"/>
  </cols>
  <sheetData>
    <row r="1" spans="1:30" ht="25.5">
      <c r="A1" s="49"/>
      <c r="B1" s="287" t="s">
        <v>109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52"/>
      <c r="X1" s="52"/>
      <c r="Y1" s="52"/>
      <c r="Z1" s="52"/>
      <c r="AA1" s="52"/>
      <c r="AB1" s="52"/>
      <c r="AC1" s="53"/>
      <c r="AD1" s="50"/>
    </row>
    <row r="2" spans="1:30" ht="25.5">
      <c r="A2" s="49"/>
      <c r="B2" s="288" t="s">
        <v>110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54"/>
      <c r="X2" s="54"/>
      <c r="Y2" s="54"/>
      <c r="Z2" s="54"/>
      <c r="AA2" s="54"/>
      <c r="AB2" s="54"/>
      <c r="AC2" s="55"/>
      <c r="AD2" s="50"/>
    </row>
    <row r="3" spans="1:30" ht="18.75">
      <c r="A3" s="49"/>
      <c r="B3" s="49"/>
      <c r="C3" s="105"/>
      <c r="D3" s="105"/>
      <c r="E3" s="105"/>
      <c r="F3" s="105"/>
      <c r="G3" s="105"/>
      <c r="H3" s="118"/>
      <c r="I3" s="118"/>
      <c r="J3" s="118"/>
      <c r="K3" s="118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54"/>
      <c r="X3" s="54"/>
      <c r="Y3" s="54"/>
      <c r="Z3" s="54"/>
      <c r="AA3" s="54"/>
      <c r="AB3" s="54"/>
      <c r="AC3" s="55"/>
      <c r="AD3" s="50"/>
    </row>
    <row r="4" spans="1:30" ht="13.5" thickBot="1">
      <c r="A4" s="49"/>
      <c r="B4" s="119" t="s">
        <v>68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54"/>
      <c r="X4" s="54"/>
      <c r="Y4" s="54"/>
      <c r="Z4" s="54"/>
      <c r="AA4" s="54"/>
      <c r="AB4" s="54"/>
      <c r="AC4" s="55"/>
      <c r="AD4" s="50"/>
    </row>
    <row r="5" spans="1:30" ht="12.75">
      <c r="A5" s="49"/>
      <c r="B5" s="121" t="s">
        <v>30</v>
      </c>
      <c r="C5" s="122" t="s">
        <v>54</v>
      </c>
      <c r="D5" s="122"/>
      <c r="E5" s="122" t="s">
        <v>2</v>
      </c>
      <c r="F5" s="122" t="s">
        <v>3</v>
      </c>
      <c r="G5" s="122" t="s">
        <v>4</v>
      </c>
      <c r="H5" s="123" t="s">
        <v>61</v>
      </c>
      <c r="I5" s="122" t="s">
        <v>5</v>
      </c>
      <c r="J5" s="122" t="s">
        <v>6</v>
      </c>
      <c r="K5" s="122" t="s">
        <v>7</v>
      </c>
      <c r="L5" s="123" t="s">
        <v>62</v>
      </c>
      <c r="M5" s="122" t="s">
        <v>8</v>
      </c>
      <c r="N5" s="122" t="s">
        <v>9</v>
      </c>
      <c r="O5" s="122" t="s">
        <v>10</v>
      </c>
      <c r="P5" s="123" t="s">
        <v>63</v>
      </c>
      <c r="Q5" s="122" t="s">
        <v>11</v>
      </c>
      <c r="R5" s="122" t="s">
        <v>12</v>
      </c>
      <c r="S5" s="122" t="s">
        <v>13</v>
      </c>
      <c r="T5" s="123" t="s">
        <v>65</v>
      </c>
      <c r="U5" s="124" t="s">
        <v>36</v>
      </c>
      <c r="V5" s="125"/>
      <c r="W5" s="49"/>
      <c r="X5" s="49"/>
      <c r="Y5" s="49"/>
      <c r="Z5" s="49"/>
      <c r="AA5" s="49"/>
      <c r="AB5" s="49"/>
      <c r="AC5" s="49"/>
      <c r="AD5" s="50"/>
    </row>
    <row r="6" spans="1:30" ht="12.75">
      <c r="A6" s="49"/>
      <c r="B6" s="126" t="s">
        <v>28</v>
      </c>
      <c r="C6" s="127">
        <f>SUM(C7:C14)</f>
        <v>208211049.84999999</v>
      </c>
      <c r="D6" s="127"/>
      <c r="E6" s="127">
        <f>SUM(E7:E14)</f>
        <v>41130582.60233435</v>
      </c>
      <c r="F6" s="127">
        <f t="shared" ref="F6:T6" si="0">SUM(F7:F14)</f>
        <v>26279499.229827598</v>
      </c>
      <c r="G6" s="127">
        <f t="shared" si="0"/>
        <v>16000101.484198274</v>
      </c>
      <c r="H6" s="128">
        <f t="shared" si="0"/>
        <v>83410183.31636022</v>
      </c>
      <c r="I6" s="127">
        <f t="shared" si="0"/>
        <v>15047650.18298338</v>
      </c>
      <c r="J6" s="127">
        <f t="shared" si="0"/>
        <v>13409770.291202748</v>
      </c>
      <c r="K6" s="127">
        <f t="shared" si="0"/>
        <v>11851065.153446736</v>
      </c>
      <c r="L6" s="128">
        <f t="shared" si="0"/>
        <v>40308485.627632864</v>
      </c>
      <c r="M6" s="127">
        <f t="shared" si="0"/>
        <v>13110228.477062766</v>
      </c>
      <c r="N6" s="127">
        <f t="shared" si="0"/>
        <v>11517865.890883956</v>
      </c>
      <c r="O6" s="127">
        <f t="shared" si="0"/>
        <v>11495103.915196521</v>
      </c>
      <c r="P6" s="128">
        <f t="shared" si="0"/>
        <v>36123198.283143245</v>
      </c>
      <c r="Q6" s="127">
        <f t="shared" si="0"/>
        <v>13604520.885806594</v>
      </c>
      <c r="R6" s="127">
        <f t="shared" si="0"/>
        <v>14259906.666270675</v>
      </c>
      <c r="S6" s="127">
        <f t="shared" si="0"/>
        <v>20504753.680111926</v>
      </c>
      <c r="T6" s="128">
        <f t="shared" si="0"/>
        <v>48369181.232189193</v>
      </c>
      <c r="U6" s="129">
        <f>SUM(U7:U14)</f>
        <v>208211049.84932557</v>
      </c>
      <c r="V6" s="125"/>
      <c r="W6" s="95"/>
      <c r="X6" s="49"/>
      <c r="Y6" s="49"/>
      <c r="Z6" s="49"/>
      <c r="AA6" s="49"/>
      <c r="AB6" s="49"/>
      <c r="AC6" s="49"/>
      <c r="AD6" s="50"/>
    </row>
    <row r="7" spans="1:30" ht="12.75">
      <c r="A7" s="49"/>
      <c r="B7" s="130" t="s">
        <v>42</v>
      </c>
      <c r="C7" s="131">
        <v>0</v>
      </c>
      <c r="D7" s="131"/>
      <c r="E7" s="131">
        <f>+C7*'Receita 19_20_21'!D189</f>
        <v>0</v>
      </c>
      <c r="F7" s="131">
        <f>+C7*'Receita 19_20_21'!F189</f>
        <v>0</v>
      </c>
      <c r="G7" s="131">
        <f>+C7*'Receita 19_20_21'!H189</f>
        <v>0</v>
      </c>
      <c r="H7" s="132">
        <f>SUM(E7:G7)</f>
        <v>0</v>
      </c>
      <c r="I7" s="131">
        <f>+C7*'Receita 19_20_21'!J189</f>
        <v>0</v>
      </c>
      <c r="J7" s="131">
        <f>+'Cronograma Ajustado'!C7*'Receita 19_20_21'!L189</f>
        <v>0</v>
      </c>
      <c r="K7" s="131">
        <f>+C7*'Receita 19_20_21'!N189</f>
        <v>0</v>
      </c>
      <c r="L7" s="132">
        <f>SUM(I7:K7)</f>
        <v>0</v>
      </c>
      <c r="M7" s="131">
        <f>+C7*'Receita 19_20_21'!P189</f>
        <v>0</v>
      </c>
      <c r="N7" s="131">
        <f>+C7*'Receita 19_20_21'!R189</f>
        <v>0</v>
      </c>
      <c r="O7" s="131">
        <f>+C7*'Receita 19_20_21'!T189</f>
        <v>0</v>
      </c>
      <c r="P7" s="132">
        <f>SUM(M7:O7)</f>
        <v>0</v>
      </c>
      <c r="Q7" s="131">
        <f>+C7*'Receita 19_20_21'!V189</f>
        <v>0</v>
      </c>
      <c r="R7" s="131">
        <f>+C7*'Receita 19_20_21'!X189</f>
        <v>0</v>
      </c>
      <c r="S7" s="131">
        <f>+C7*'Receita 19_20_21'!Z189</f>
        <v>0</v>
      </c>
      <c r="T7" s="132">
        <f>SUM(Q7:S7)</f>
        <v>0</v>
      </c>
      <c r="U7" s="133">
        <f>+E7+F7+G7+I7+J7+K7+M7+N7+O7+Q7+R7+S7</f>
        <v>0</v>
      </c>
      <c r="V7" s="125"/>
      <c r="W7" s="49"/>
      <c r="X7" s="49"/>
      <c r="Y7" s="49"/>
      <c r="Z7" s="49"/>
      <c r="AA7" s="49"/>
      <c r="AB7" s="49"/>
      <c r="AC7" s="49"/>
      <c r="AD7" s="50"/>
    </row>
    <row r="8" spans="1:30" ht="12.75">
      <c r="A8" s="49"/>
      <c r="B8" s="130" t="s">
        <v>31</v>
      </c>
      <c r="C8" s="131">
        <f>'Cronograma Previsto'!C10</f>
        <v>138632104.88</v>
      </c>
      <c r="D8" s="131"/>
      <c r="E8" s="131">
        <f>'Cronograma Previsto'!D10-7000000-7000000</f>
        <v>33628514.288641468</v>
      </c>
      <c r="F8" s="131">
        <f>'Cronograma Previsto'!E10+3000000</f>
        <v>19483427.039783038</v>
      </c>
      <c r="G8" s="131">
        <f>'Cronograma Previsto'!F10</f>
        <v>9066868.9200249389</v>
      </c>
      <c r="H8" s="132">
        <f t="shared" ref="H8:H14" si="1">SUM(E8:G8)</f>
        <v>62178810.248449445</v>
      </c>
      <c r="I8" s="131">
        <f>'Cronograma Previsto'!H10-2500000</f>
        <v>9044892.3163376488</v>
      </c>
      <c r="J8" s="131">
        <f>'Cronograma Previsto'!I10+1500000</f>
        <v>8147584.1821278008</v>
      </c>
      <c r="K8" s="131">
        <f>'Cronograma Previsto'!J10+500000+1500000</f>
        <v>7185422.9001867371</v>
      </c>
      <c r="L8" s="132">
        <f t="shared" ref="L8:L14" si="2">SUM(I8:K8)</f>
        <v>24377899.398652185</v>
      </c>
      <c r="M8" s="131">
        <f>+C8*'Receita 19_20_21'!P190+2500000</f>
        <v>7769543.6564704115</v>
      </c>
      <c r="N8" s="131">
        <f>+C8*'Receita 19_20_21'!R190+1500000</f>
        <v>6121688.8398789708</v>
      </c>
      <c r="O8" s="131">
        <f>+C8*'Receita 19_20_21'!T190+1000000+1000000</f>
        <v>6361694.9508685544</v>
      </c>
      <c r="P8" s="132">
        <f t="shared" ref="P8:P14" si="3">SUM(M8:O8)</f>
        <v>20252927.447217938</v>
      </c>
      <c r="Q8" s="131">
        <f>+C8*'Receita 19_20_21'!V190+3000000</f>
        <v>7627153.6470897608</v>
      </c>
      <c r="R8" s="131">
        <f>+C8*'Receita 19_20_21'!X190+5000000</f>
        <v>9482232.609366551</v>
      </c>
      <c r="S8" s="131">
        <f>+C8*'Receita 19_20_21'!Z190+4000000</f>
        <v>14713081.529224126</v>
      </c>
      <c r="T8" s="132">
        <f t="shared" ref="T8:T14" si="4">SUM(Q8:S8)</f>
        <v>31822467.785680436</v>
      </c>
      <c r="U8" s="133">
        <f t="shared" ref="U8:U13" si="5">+E8+F8+G8+I8+J8+K8+M8+N8+O8+Q8+R8+S8</f>
        <v>138632104.88000003</v>
      </c>
      <c r="V8" s="174"/>
      <c r="W8" s="95"/>
      <c r="X8" s="49"/>
      <c r="Y8" s="49"/>
      <c r="Z8" s="49"/>
      <c r="AA8" s="49"/>
      <c r="AB8" s="49"/>
      <c r="AC8" s="49"/>
      <c r="AD8" s="50"/>
    </row>
    <row r="9" spans="1:30" ht="12.75">
      <c r="A9" s="49"/>
      <c r="B9" s="130" t="s">
        <v>32</v>
      </c>
      <c r="C9" s="131">
        <f>'Cronograma Previsto'!C11</f>
        <v>18175742.620000001</v>
      </c>
      <c r="D9" s="131"/>
      <c r="E9" s="131">
        <f>C9*'Receita 19_20_21'!D191</f>
        <v>1483529.6879954578</v>
      </c>
      <c r="F9" s="131">
        <f>C9*'Receita 19_20_21'!F191</f>
        <v>1554118.7818375702</v>
      </c>
      <c r="G9" s="131">
        <f>C9*'Receita 19_20_21'!H191-100000</f>
        <v>1657711.2492512588</v>
      </c>
      <c r="H9" s="132">
        <f t="shared" si="1"/>
        <v>4695359.7190842871</v>
      </c>
      <c r="I9" s="131">
        <f>C9*'Receita 19_20_21'!J191+100000</f>
        <v>1900090.9244691206</v>
      </c>
      <c r="J9" s="131">
        <f>C9*'Receita 19_20_21'!L191</f>
        <v>1769688.6216651753</v>
      </c>
      <c r="K9" s="131">
        <f>C9*'Receita 19_20_21'!N191</f>
        <v>1603815.8934692403</v>
      </c>
      <c r="L9" s="132">
        <f t="shared" si="2"/>
        <v>5273595.4396035364</v>
      </c>
      <c r="M9" s="131">
        <f>C9*'Receita 19_20_21'!P191</f>
        <v>1680986.0714562959</v>
      </c>
      <c r="N9" s="131">
        <f>C9*'Receita 19_20_21'!R191</f>
        <v>1525964.2783389755</v>
      </c>
      <c r="O9" s="131">
        <f>C9*'Receita 19_20_21'!T191</f>
        <v>1328975.8566101405</v>
      </c>
      <c r="P9" s="132">
        <f t="shared" si="3"/>
        <v>4535926.2064054124</v>
      </c>
      <c r="Q9" s="131">
        <f>C9*'Receita 19_20_21'!V191</f>
        <v>1386529.1440696341</v>
      </c>
      <c r="R9" s="131">
        <f>C9*'Receita 19_20_21'!X191</f>
        <v>1160624.9630126406</v>
      </c>
      <c r="S9" s="131">
        <f>C9*'Receita 19_20_21'!Z191</f>
        <v>1123707.1478244914</v>
      </c>
      <c r="T9" s="132">
        <f t="shared" si="4"/>
        <v>3670861.2549067661</v>
      </c>
      <c r="U9" s="133">
        <f t="shared" si="5"/>
        <v>18175742.620000001</v>
      </c>
      <c r="V9" s="174"/>
      <c r="W9" s="95"/>
      <c r="X9" s="49"/>
      <c r="Y9" s="49"/>
      <c r="Z9" s="49"/>
      <c r="AA9" s="49"/>
      <c r="AB9" s="49"/>
      <c r="AC9" s="49"/>
      <c r="AD9" s="50"/>
    </row>
    <row r="10" spans="1:30" ht="12.75">
      <c r="A10" s="49"/>
      <c r="B10" s="130" t="s">
        <v>43</v>
      </c>
      <c r="C10" s="131">
        <v>0</v>
      </c>
      <c r="D10" s="131"/>
      <c r="E10" s="131">
        <f>+C10*'Receita 19_20_21'!D192</f>
        <v>0</v>
      </c>
      <c r="F10" s="131">
        <f>+C10*'Receita 19_20_21'!F192</f>
        <v>0</v>
      </c>
      <c r="G10" s="131">
        <f>+C10*'Receita 19_20_21'!H192</f>
        <v>0</v>
      </c>
      <c r="H10" s="132">
        <f t="shared" si="1"/>
        <v>0</v>
      </c>
      <c r="I10" s="131">
        <f>+C10*'Receita 19_20_21'!J192</f>
        <v>0</v>
      </c>
      <c r="J10" s="131">
        <f>+'Cronograma Ajustado'!C10*'Receita 19_20_21'!L192</f>
        <v>0</v>
      </c>
      <c r="K10" s="131">
        <f>+C10*'Receita 19_20_21'!N192</f>
        <v>0</v>
      </c>
      <c r="L10" s="132">
        <f t="shared" si="2"/>
        <v>0</v>
      </c>
      <c r="M10" s="131">
        <f>+C10*'Receita 19_20_21'!P192</f>
        <v>0</v>
      </c>
      <c r="N10" s="131">
        <f>+C10*'Receita 19_20_21'!R192</f>
        <v>0</v>
      </c>
      <c r="O10" s="131">
        <f>+C10*'Receita 19_20_21'!T192</f>
        <v>0</v>
      </c>
      <c r="P10" s="132">
        <f t="shared" si="3"/>
        <v>0</v>
      </c>
      <c r="Q10" s="131">
        <f>+C10*'Receita 19_20_21'!V192</f>
        <v>0</v>
      </c>
      <c r="R10" s="131">
        <f>+C10*'Receita 19_20_21'!X192</f>
        <v>0</v>
      </c>
      <c r="S10" s="131">
        <f>+C10*'Receita 19_20_21'!Z192</f>
        <v>0</v>
      </c>
      <c r="T10" s="132">
        <f t="shared" si="4"/>
        <v>0</v>
      </c>
      <c r="U10" s="133">
        <f t="shared" si="5"/>
        <v>0</v>
      </c>
      <c r="V10" s="125"/>
      <c r="W10" s="49"/>
      <c r="X10" s="49"/>
      <c r="Y10" s="49"/>
      <c r="Z10" s="49"/>
      <c r="AA10" s="49"/>
      <c r="AB10" s="49"/>
      <c r="AC10" s="49"/>
      <c r="AD10" s="50"/>
    </row>
    <row r="11" spans="1:30" ht="12.75">
      <c r="A11" s="49"/>
      <c r="B11" s="130" t="s">
        <v>44</v>
      </c>
      <c r="C11" s="131">
        <v>0</v>
      </c>
      <c r="D11" s="131"/>
      <c r="E11" s="131">
        <f>+C11*'Receita 19_20_21'!D193</f>
        <v>0</v>
      </c>
      <c r="F11" s="131">
        <f>+C11*'Receita 19_20_21'!F193</f>
        <v>0</v>
      </c>
      <c r="G11" s="131">
        <f>+C11*'Receita 19_20_21'!H193</f>
        <v>0</v>
      </c>
      <c r="H11" s="132">
        <f t="shared" si="1"/>
        <v>0</v>
      </c>
      <c r="I11" s="131">
        <f>+C11*'Receita 19_20_21'!J193</f>
        <v>0</v>
      </c>
      <c r="J11" s="131">
        <f>+'Cronograma Ajustado'!C11*'Receita 19_20_21'!L193</f>
        <v>0</v>
      </c>
      <c r="K11" s="131">
        <f>+C11*'Receita 19_20_21'!N193</f>
        <v>0</v>
      </c>
      <c r="L11" s="132">
        <f t="shared" si="2"/>
        <v>0</v>
      </c>
      <c r="M11" s="131">
        <f>+C11*'Receita 19_20_21'!P193</f>
        <v>0</v>
      </c>
      <c r="N11" s="131">
        <f>+C11*'Receita 19_20_21'!R193</f>
        <v>0</v>
      </c>
      <c r="O11" s="131">
        <f>+C11*'Receita 19_20_21'!T193</f>
        <v>0</v>
      </c>
      <c r="P11" s="132">
        <f t="shared" si="3"/>
        <v>0</v>
      </c>
      <c r="Q11" s="131">
        <f>+C11*'Receita 19_20_21'!V193</f>
        <v>0</v>
      </c>
      <c r="R11" s="131">
        <f>+C11*'Receita 19_20_21'!X193</f>
        <v>0</v>
      </c>
      <c r="S11" s="131">
        <f>+C11*'Receita 19_20_21'!Z193</f>
        <v>0</v>
      </c>
      <c r="T11" s="132">
        <f t="shared" si="4"/>
        <v>0</v>
      </c>
      <c r="U11" s="133">
        <f t="shared" si="5"/>
        <v>0</v>
      </c>
      <c r="V11" s="125"/>
      <c r="W11" s="49"/>
      <c r="X11" s="49"/>
      <c r="Y11" s="49"/>
      <c r="Z11" s="49"/>
      <c r="AA11" s="49"/>
      <c r="AB11" s="49"/>
      <c r="AC11" s="49"/>
      <c r="AD11" s="50"/>
    </row>
    <row r="12" spans="1:30" ht="12.75">
      <c r="A12" s="49"/>
      <c r="B12" s="130" t="s">
        <v>45</v>
      </c>
      <c r="C12" s="131">
        <f>'Cronograma Previsto'!C14</f>
        <v>28059723.600000001</v>
      </c>
      <c r="D12" s="131"/>
      <c r="E12" s="131">
        <f>C12*'Receita 19_20_21'!D194</f>
        <v>3822937.6074008648</v>
      </c>
      <c r="F12" s="131">
        <f>C12*'Receita 19_20_21'!F194</f>
        <v>3260345.0452821054</v>
      </c>
      <c r="G12" s="131">
        <f>C12*'Receita 19_20_21'!H194</f>
        <v>3413886.0574172414</v>
      </c>
      <c r="H12" s="132">
        <f t="shared" si="1"/>
        <v>10497168.710100211</v>
      </c>
      <c r="I12" s="131">
        <f>C12*'Receita 19_20_21'!J194</f>
        <v>2277459.8955934686</v>
      </c>
      <c r="J12" s="131">
        <f>C12*'Receita 19_20_21'!L194</f>
        <v>1752120.2966647008</v>
      </c>
      <c r="K12" s="131">
        <f>C12*'Receita 19_20_21'!N194</f>
        <v>1458422.4165701722</v>
      </c>
      <c r="L12" s="132">
        <f t="shared" si="2"/>
        <v>5488002.6088283416</v>
      </c>
      <c r="M12" s="131">
        <f>C12*'Receita 19_20_21'!P194</f>
        <v>1955002.7843114203</v>
      </c>
      <c r="N12" s="131">
        <f>C12*'Receita 19_20_21'!R194</f>
        <v>2129777.8757120878</v>
      </c>
      <c r="O12" s="131">
        <f>C12*'Receita 19_20_21'!T194</f>
        <v>1998548.8697257075</v>
      </c>
      <c r="P12" s="132">
        <f t="shared" si="3"/>
        <v>6083329.5297492156</v>
      </c>
      <c r="Q12" s="131">
        <f>C12*'Receita 19_20_21'!V194</f>
        <v>2297367.6380214556</v>
      </c>
      <c r="R12" s="131">
        <f>C12*'Receita 19_20_21'!X194</f>
        <v>1819600.470078005</v>
      </c>
      <c r="S12" s="131">
        <f>C12*'Receita 19_20_21'!Z194</f>
        <v>1874248.2194861642</v>
      </c>
      <c r="T12" s="132">
        <f t="shared" si="4"/>
        <v>5991216.3275856245</v>
      </c>
      <c r="U12" s="133">
        <f>+E12+F12+G12+I12+J12+K12+M12+N12+O12+Q12+R12+S12+6.42</f>
        <v>28059723.596263397</v>
      </c>
      <c r="V12" s="174"/>
      <c r="W12" s="95"/>
      <c r="X12" s="49"/>
      <c r="Y12" s="49"/>
      <c r="Z12" s="49"/>
      <c r="AA12" s="49"/>
      <c r="AB12" s="49"/>
      <c r="AC12" s="49"/>
      <c r="AD12" s="50"/>
    </row>
    <row r="13" spans="1:30" ht="12.75">
      <c r="A13" s="49"/>
      <c r="B13" s="130" t="s">
        <v>46</v>
      </c>
      <c r="C13" s="131">
        <f>'Cronograma Previsto'!C15</f>
        <v>0</v>
      </c>
      <c r="D13" s="131"/>
      <c r="E13" s="131">
        <f>+C13*'Receita 19_20_21'!D195</f>
        <v>0</v>
      </c>
      <c r="F13" s="131">
        <f>+C13*'Receita 19_20_21'!F195</f>
        <v>0</v>
      </c>
      <c r="G13" s="131"/>
      <c r="H13" s="132">
        <f t="shared" si="1"/>
        <v>0</v>
      </c>
      <c r="I13" s="131">
        <f>+C13*'Receita 19_20_21'!J195</f>
        <v>0</v>
      </c>
      <c r="J13" s="131">
        <f>+'Cronograma Ajustado'!C13*'Receita 19_20_21'!L195</f>
        <v>0</v>
      </c>
      <c r="K13" s="131">
        <f>+C13*'Receita 19_20_21'!N195</f>
        <v>0</v>
      </c>
      <c r="L13" s="132">
        <f t="shared" si="2"/>
        <v>0</v>
      </c>
      <c r="M13" s="131">
        <f>+C13*'Receita 19_20_21'!P195</f>
        <v>0</v>
      </c>
      <c r="N13" s="131">
        <f>+C13*'Receita 19_20_21'!R195</f>
        <v>0</v>
      </c>
      <c r="O13" s="131">
        <f>+C13*'Receita 19_20_21'!T195</f>
        <v>0</v>
      </c>
      <c r="P13" s="132">
        <f t="shared" si="3"/>
        <v>0</v>
      </c>
      <c r="Q13" s="131">
        <f>+C13*'Receita 19_20_21'!V195</f>
        <v>0</v>
      </c>
      <c r="R13" s="131">
        <f>+C13*'Receita 19_20_21'!X195</f>
        <v>0</v>
      </c>
      <c r="S13" s="131">
        <f>+C13*'Receita 19_20_21'!Z195</f>
        <v>0</v>
      </c>
      <c r="T13" s="132">
        <f t="shared" si="4"/>
        <v>0</v>
      </c>
      <c r="U13" s="133">
        <f t="shared" si="5"/>
        <v>0</v>
      </c>
      <c r="V13" s="174"/>
      <c r="W13" s="49"/>
      <c r="X13" s="49"/>
      <c r="Y13" s="49"/>
      <c r="Z13" s="49"/>
      <c r="AA13" s="49"/>
      <c r="AB13" s="49"/>
      <c r="AC13" s="49"/>
      <c r="AD13" s="50"/>
    </row>
    <row r="14" spans="1:30" ht="12.75">
      <c r="A14" s="49"/>
      <c r="B14" s="130" t="s">
        <v>35</v>
      </c>
      <c r="C14" s="131">
        <f>'Cronograma Previsto'!C16</f>
        <v>23343478.75</v>
      </c>
      <c r="D14" s="131"/>
      <c r="E14" s="131">
        <f>C14*'Receita 19_20_21'!D196</f>
        <v>2195601.0182965584</v>
      </c>
      <c r="F14" s="131">
        <f>C14*'Receita 19_20_21'!F196</f>
        <v>1981608.3629248815</v>
      </c>
      <c r="G14" s="131">
        <f>C14*'Receita 19_20_21'!H196</f>
        <v>1861635.2575048332</v>
      </c>
      <c r="H14" s="132">
        <f t="shared" si="1"/>
        <v>6038844.6387262726</v>
      </c>
      <c r="I14" s="131">
        <f>C14*'Receita 19_20_21'!J196</f>
        <v>1825207.0465831417</v>
      </c>
      <c r="J14" s="131">
        <f>C14*'Receita 19_20_21'!L196</f>
        <v>1740377.1907450722</v>
      </c>
      <c r="K14" s="131">
        <f>C14*'Receita 19_20_21'!N196</f>
        <v>1603403.9432205872</v>
      </c>
      <c r="L14" s="132">
        <f t="shared" si="2"/>
        <v>5168988.1805488011</v>
      </c>
      <c r="M14" s="131">
        <f>C14*'Receita 19_20_21'!P196</f>
        <v>1704695.964824639</v>
      </c>
      <c r="N14" s="131">
        <f>C14*'Receita 19_20_21'!R196</f>
        <v>1740434.896953922</v>
      </c>
      <c r="O14" s="131">
        <f>C14*'Receita 19_20_21'!T196</f>
        <v>1805884.2379921193</v>
      </c>
      <c r="P14" s="132">
        <f t="shared" si="3"/>
        <v>5251015.0997706801</v>
      </c>
      <c r="Q14" s="131">
        <f>C14*'Receita 19_20_21'!V196</f>
        <v>2293470.4566257428</v>
      </c>
      <c r="R14" s="131">
        <f>C14*'Receita 19_20_21'!X196</f>
        <v>1797448.623813479</v>
      </c>
      <c r="S14" s="131">
        <f>C14*'Receita 19_20_21'!Z196</f>
        <v>2793716.7835771437</v>
      </c>
      <c r="T14" s="132">
        <f t="shared" si="4"/>
        <v>6884635.8640163653</v>
      </c>
      <c r="U14" s="133">
        <f>+E14+F14+G14+I14+J14+K14+M14+N14+O14+Q14+R14+S14-5.03</f>
        <v>23343478.753062122</v>
      </c>
      <c r="V14" s="174"/>
      <c r="W14" s="95"/>
      <c r="X14" s="49"/>
      <c r="Y14" s="95"/>
      <c r="Z14" s="49"/>
      <c r="AA14" s="49"/>
      <c r="AB14" s="49"/>
      <c r="AC14" s="49"/>
      <c r="AD14" s="50"/>
    </row>
    <row r="15" spans="1:30" ht="12.75">
      <c r="A15" s="49"/>
      <c r="B15" s="126" t="s">
        <v>29</v>
      </c>
      <c r="C15" s="127">
        <f>SUM(C17:C20)</f>
        <v>0</v>
      </c>
      <c r="D15" s="127"/>
      <c r="E15" s="127"/>
      <c r="F15" s="127"/>
      <c r="G15" s="127"/>
      <c r="H15" s="128"/>
      <c r="I15" s="127"/>
      <c r="J15" s="127"/>
      <c r="K15" s="127"/>
      <c r="L15" s="128"/>
      <c r="M15" s="127"/>
      <c r="N15" s="127"/>
      <c r="O15" s="127"/>
      <c r="P15" s="128"/>
      <c r="Q15" s="127"/>
      <c r="R15" s="127"/>
      <c r="S15" s="127"/>
      <c r="T15" s="128"/>
      <c r="U15" s="129"/>
      <c r="V15" s="125"/>
      <c r="W15" s="49"/>
      <c r="X15" s="49"/>
      <c r="Y15" s="49"/>
      <c r="Z15" s="49"/>
      <c r="AA15" s="49"/>
      <c r="AB15" s="49"/>
      <c r="AC15" s="49"/>
      <c r="AD15" s="50"/>
    </row>
    <row r="16" spans="1:30" ht="12.75">
      <c r="A16" s="49"/>
      <c r="B16" s="130" t="s">
        <v>47</v>
      </c>
      <c r="C16" s="131">
        <v>0</v>
      </c>
      <c r="D16" s="131"/>
      <c r="E16" s="131"/>
      <c r="F16" s="131"/>
      <c r="G16" s="131"/>
      <c r="H16" s="132"/>
      <c r="I16" s="131"/>
      <c r="J16" s="131"/>
      <c r="K16" s="131"/>
      <c r="L16" s="132"/>
      <c r="M16" s="131"/>
      <c r="N16" s="131"/>
      <c r="O16" s="131"/>
      <c r="P16" s="132"/>
      <c r="Q16" s="131"/>
      <c r="R16" s="131"/>
      <c r="S16" s="131"/>
      <c r="T16" s="132"/>
      <c r="U16" s="133"/>
      <c r="V16" s="125"/>
      <c r="W16" s="49"/>
      <c r="X16" s="49"/>
      <c r="Y16" s="49"/>
      <c r="Z16" s="49"/>
      <c r="AA16" s="49"/>
      <c r="AB16" s="49"/>
      <c r="AC16" s="49"/>
      <c r="AD16" s="50"/>
    </row>
    <row r="17" spans="1:30" ht="12.75">
      <c r="A17" s="49"/>
      <c r="B17" s="130" t="s">
        <v>48</v>
      </c>
      <c r="C17" s="131">
        <v>0</v>
      </c>
      <c r="D17" s="131"/>
      <c r="E17" s="131"/>
      <c r="F17" s="131"/>
      <c r="G17" s="131"/>
      <c r="H17" s="132"/>
      <c r="I17" s="131"/>
      <c r="J17" s="131"/>
      <c r="K17" s="131"/>
      <c r="L17" s="132"/>
      <c r="M17" s="131"/>
      <c r="N17" s="131"/>
      <c r="O17" s="131"/>
      <c r="P17" s="132"/>
      <c r="Q17" s="131"/>
      <c r="R17" s="131"/>
      <c r="S17" s="131"/>
      <c r="T17" s="132"/>
      <c r="U17" s="133"/>
      <c r="V17" s="125"/>
      <c r="W17" s="49"/>
      <c r="X17" s="49"/>
      <c r="Y17" s="49"/>
      <c r="Z17" s="49"/>
      <c r="AA17" s="49"/>
      <c r="AB17" s="49"/>
      <c r="AC17" s="49"/>
      <c r="AD17" s="50"/>
    </row>
    <row r="18" spans="1:30" ht="12.75">
      <c r="A18" s="49"/>
      <c r="B18" s="130" t="s">
        <v>33</v>
      </c>
      <c r="C18" s="131">
        <v>0</v>
      </c>
      <c r="D18" s="131"/>
      <c r="E18" s="131">
        <f>+C18*'Receita 19_20_21'!D200</f>
        <v>0</v>
      </c>
      <c r="F18" s="131">
        <f>+C18*'Receita 19_20_21'!F200</f>
        <v>0</v>
      </c>
      <c r="G18" s="131">
        <f>+C18*'Receita 19_20_21'!H200</f>
        <v>0</v>
      </c>
      <c r="H18" s="132">
        <f>SUM(E18:G18)</f>
        <v>0</v>
      </c>
      <c r="I18" s="131">
        <f>+C18*'Receita 19_20_21'!J200</f>
        <v>0</v>
      </c>
      <c r="J18" s="131">
        <f>+C18*'Receita 19_20_21'!L200</f>
        <v>0</v>
      </c>
      <c r="K18" s="131">
        <f>+C18*'Receita 19_20_21'!N200</f>
        <v>0</v>
      </c>
      <c r="L18" s="132">
        <f>SUM(I18:K18)</f>
        <v>0</v>
      </c>
      <c r="M18" s="131">
        <f>+C18*'Receita 19_20_21'!P200</f>
        <v>0</v>
      </c>
      <c r="N18" s="131">
        <f>+C18*'Receita 19_20_21'!R200</f>
        <v>0</v>
      </c>
      <c r="O18" s="131">
        <f>+C18*'Receita 19_20_21'!T200</f>
        <v>0</v>
      </c>
      <c r="P18" s="132">
        <f>SUM(M18:O18)</f>
        <v>0</v>
      </c>
      <c r="Q18" s="131">
        <f>+C18*'Receita 19_20_21'!V200</f>
        <v>0</v>
      </c>
      <c r="R18" s="131">
        <f>+C18*'Receita 19_20_21'!X200</f>
        <v>0</v>
      </c>
      <c r="S18" s="131">
        <f>+C18*'Receita 19_20_21'!Z200</f>
        <v>0</v>
      </c>
      <c r="T18" s="132">
        <f>SUM(Q18:S18)</f>
        <v>0</v>
      </c>
      <c r="U18" s="133">
        <f>+E18+F18+G18+I18+J18+K18+M18+N18+O18+Q18+R18+S18</f>
        <v>0</v>
      </c>
      <c r="V18" s="174"/>
      <c r="W18" s="49"/>
      <c r="X18" s="49"/>
      <c r="Y18" s="49"/>
      <c r="Z18" s="49"/>
      <c r="AA18" s="49"/>
      <c r="AB18" s="49"/>
      <c r="AC18" s="49"/>
      <c r="AD18" s="50"/>
    </row>
    <row r="19" spans="1:30" ht="12.75">
      <c r="A19" s="49"/>
      <c r="B19" s="130" t="s">
        <v>49</v>
      </c>
      <c r="C19" s="131">
        <v>0</v>
      </c>
      <c r="D19" s="131"/>
      <c r="E19" s="131">
        <f>+C19*'Receita 19_20_21'!D201</f>
        <v>0</v>
      </c>
      <c r="F19" s="131">
        <f>+C19*'Receita 19_20_21'!F201</f>
        <v>0</v>
      </c>
      <c r="G19" s="131">
        <f>+C19*'Receita 19_20_21'!H201</f>
        <v>0</v>
      </c>
      <c r="H19" s="132">
        <f>SUM(E19:G19)</f>
        <v>0</v>
      </c>
      <c r="I19" s="131">
        <f>+C19*'Receita 19_20_21'!J201</f>
        <v>0</v>
      </c>
      <c r="J19" s="131">
        <f>+C19*'Receita 19_20_21'!L201</f>
        <v>0</v>
      </c>
      <c r="K19" s="131">
        <f>+C19*'Receita 19_20_21'!N201</f>
        <v>0</v>
      </c>
      <c r="L19" s="132">
        <f>SUM(I19:K19)</f>
        <v>0</v>
      </c>
      <c r="M19" s="131">
        <f>+C19*'Receita 19_20_21'!P201</f>
        <v>0</v>
      </c>
      <c r="N19" s="131">
        <f>+C19*'Receita 19_20_21'!R201</f>
        <v>0</v>
      </c>
      <c r="O19" s="131">
        <f>+C19*'Receita 19_20_21'!T201</f>
        <v>0</v>
      </c>
      <c r="P19" s="132">
        <f>SUM(M19:O19)</f>
        <v>0</v>
      </c>
      <c r="Q19" s="131">
        <f>+C19*'Receita 19_20_21'!V201</f>
        <v>0</v>
      </c>
      <c r="R19" s="131">
        <f>+C19*'Receita 19_20_21'!X201</f>
        <v>0</v>
      </c>
      <c r="S19" s="131">
        <f>+C19*'Receita 19_20_21'!Z201</f>
        <v>0</v>
      </c>
      <c r="T19" s="132">
        <f>SUM(Q19:S19)</f>
        <v>0</v>
      </c>
      <c r="U19" s="133">
        <f>+E19+F19+G19+I19+J19+K19+M19+N19+O19+Q19+R19+S19</f>
        <v>0</v>
      </c>
      <c r="V19" s="174"/>
      <c r="W19" s="49"/>
      <c r="X19" s="49"/>
      <c r="Y19" s="49"/>
      <c r="Z19" s="49"/>
      <c r="AA19" s="49"/>
      <c r="AB19" s="49"/>
      <c r="AC19" s="49"/>
      <c r="AD19" s="50"/>
    </row>
    <row r="20" spans="1:30" ht="13.5" thickBot="1">
      <c r="A20" s="49"/>
      <c r="B20" s="130" t="s">
        <v>34</v>
      </c>
      <c r="C20" s="131">
        <v>0</v>
      </c>
      <c r="D20" s="131"/>
      <c r="E20" s="131">
        <f>+C20*'Receita 19_20_21'!D202</f>
        <v>0</v>
      </c>
      <c r="F20" s="131">
        <f>+C20*'Receita 19_20_21'!F202</f>
        <v>0</v>
      </c>
      <c r="G20" s="131">
        <f>+C20*'Receita 19_20_21'!H202</f>
        <v>0</v>
      </c>
      <c r="H20" s="132">
        <f>SUM(E20:G20)</f>
        <v>0</v>
      </c>
      <c r="I20" s="131">
        <f>+C20*'Receita 19_20_21'!J202</f>
        <v>0</v>
      </c>
      <c r="J20" s="131">
        <f>+C20*'Receita 19_20_21'!L202</f>
        <v>0</v>
      </c>
      <c r="K20" s="131">
        <f>+C20*'Receita 19_20_21'!N202</f>
        <v>0</v>
      </c>
      <c r="L20" s="132">
        <f>SUM(I20:K20)</f>
        <v>0</v>
      </c>
      <c r="M20" s="131">
        <f>+C20*'Receita 19_20_21'!P202</f>
        <v>0</v>
      </c>
      <c r="N20" s="131">
        <f>+C20*'Receita 19_20_21'!R202</f>
        <v>0</v>
      </c>
      <c r="O20" s="131">
        <f>+C20*'Receita 19_20_21'!T202</f>
        <v>0</v>
      </c>
      <c r="P20" s="132">
        <f>SUM(M20:O20)</f>
        <v>0</v>
      </c>
      <c r="Q20" s="131">
        <f>+C20*'Receita 19_20_21'!V202</f>
        <v>0</v>
      </c>
      <c r="R20" s="131">
        <f>+C20*'Receita 19_20_21'!X202</f>
        <v>0</v>
      </c>
      <c r="S20" s="131">
        <f>+C20*'Receita 19_20_21'!Z202</f>
        <v>0</v>
      </c>
      <c r="T20" s="132">
        <f>SUM(Q20:S20)</f>
        <v>0</v>
      </c>
      <c r="U20" s="133">
        <f>+E20+F20+G20+I20+J20+K20+M20+N20+O20+Q20+R20+S20</f>
        <v>0</v>
      </c>
      <c r="V20" s="174"/>
      <c r="W20" s="49"/>
      <c r="X20" s="49"/>
      <c r="Y20" s="49"/>
      <c r="Z20" s="49"/>
      <c r="AA20" s="49"/>
      <c r="AB20" s="49"/>
      <c r="AC20" s="49"/>
      <c r="AD20" s="50"/>
    </row>
    <row r="21" spans="1:30" ht="13.5" thickBot="1">
      <c r="A21" s="49"/>
      <c r="B21" s="134" t="s">
        <v>16</v>
      </c>
      <c r="C21" s="135">
        <f t="shared" ref="C21:U21" si="6">+C6+C15</f>
        <v>208211049.84999999</v>
      </c>
      <c r="D21" s="135"/>
      <c r="E21" s="135">
        <f t="shared" si="6"/>
        <v>41130582.60233435</v>
      </c>
      <c r="F21" s="135">
        <f t="shared" si="6"/>
        <v>26279499.229827598</v>
      </c>
      <c r="G21" s="135">
        <f t="shared" si="6"/>
        <v>16000101.484198274</v>
      </c>
      <c r="H21" s="135">
        <f t="shared" si="6"/>
        <v>83410183.31636022</v>
      </c>
      <c r="I21" s="135">
        <f t="shared" si="6"/>
        <v>15047650.18298338</v>
      </c>
      <c r="J21" s="135">
        <f t="shared" si="6"/>
        <v>13409770.291202748</v>
      </c>
      <c r="K21" s="135">
        <f t="shared" si="6"/>
        <v>11851065.153446736</v>
      </c>
      <c r="L21" s="136">
        <f t="shared" si="6"/>
        <v>40308485.627632864</v>
      </c>
      <c r="M21" s="135">
        <f t="shared" si="6"/>
        <v>13110228.477062766</v>
      </c>
      <c r="N21" s="135">
        <f t="shared" si="6"/>
        <v>11517865.890883956</v>
      </c>
      <c r="O21" s="135">
        <f t="shared" si="6"/>
        <v>11495103.915196521</v>
      </c>
      <c r="P21" s="136">
        <f t="shared" si="6"/>
        <v>36123198.283143245</v>
      </c>
      <c r="Q21" s="135">
        <f t="shared" si="6"/>
        <v>13604520.885806594</v>
      </c>
      <c r="R21" s="135">
        <f t="shared" si="6"/>
        <v>14259906.666270675</v>
      </c>
      <c r="S21" s="135">
        <f t="shared" si="6"/>
        <v>20504753.680111926</v>
      </c>
      <c r="T21" s="136">
        <f t="shared" si="6"/>
        <v>48369181.232189193</v>
      </c>
      <c r="U21" s="137">
        <f t="shared" si="6"/>
        <v>208211049.84932557</v>
      </c>
      <c r="V21" s="174"/>
      <c r="W21" s="95"/>
      <c r="X21" s="95"/>
      <c r="Y21" s="49"/>
      <c r="Z21" s="49"/>
      <c r="AA21" s="49"/>
      <c r="AB21" s="49"/>
      <c r="AC21" s="49"/>
      <c r="AD21" s="50"/>
    </row>
    <row r="22" spans="1:30" ht="13.5" thickBot="1">
      <c r="A22" s="49"/>
      <c r="B22" s="138" t="s">
        <v>64</v>
      </c>
      <c r="C22" s="139"/>
      <c r="D22" s="139"/>
      <c r="E22" s="140">
        <f>+E21/$C$21</f>
        <v>0.19754274632381788</v>
      </c>
      <c r="F22" s="140">
        <f t="shared" ref="F22:U22" si="7">+F21/$C$21</f>
        <v>0.12621567994955096</v>
      </c>
      <c r="G22" s="140">
        <f t="shared" si="7"/>
        <v>7.6845592468435822E-2</v>
      </c>
      <c r="H22" s="140">
        <f t="shared" si="7"/>
        <v>0.40060401874180468</v>
      </c>
      <c r="I22" s="140">
        <f t="shared" si="7"/>
        <v>7.2271141199393846E-2</v>
      </c>
      <c r="J22" s="140">
        <f t="shared" si="7"/>
        <v>6.4404700427107275E-2</v>
      </c>
      <c r="K22" s="140">
        <f t="shared" si="7"/>
        <v>5.6918521673006858E-2</v>
      </c>
      <c r="L22" s="141">
        <f t="shared" si="7"/>
        <v>0.19359436329950797</v>
      </c>
      <c r="M22" s="140">
        <f t="shared" si="7"/>
        <v>6.2966055291050468E-2</v>
      </c>
      <c r="N22" s="140">
        <f t="shared" si="7"/>
        <v>5.5318225901947522E-2</v>
      </c>
      <c r="O22" s="140">
        <f t="shared" si="7"/>
        <v>5.5208904251132958E-2</v>
      </c>
      <c r="P22" s="141">
        <f t="shared" si="7"/>
        <v>0.17349318544413095</v>
      </c>
      <c r="Q22" s="140">
        <f t="shared" si="7"/>
        <v>6.5340052296012155E-2</v>
      </c>
      <c r="R22" s="140">
        <f t="shared" si="7"/>
        <v>6.8487751618100182E-2</v>
      </c>
      <c r="S22" s="140">
        <f t="shared" si="7"/>
        <v>9.8480621921286218E-2</v>
      </c>
      <c r="T22" s="141">
        <f t="shared" si="7"/>
        <v>0.23230842583539854</v>
      </c>
      <c r="U22" s="142">
        <f t="shared" si="7"/>
        <v>0.99999999999676081</v>
      </c>
      <c r="V22" s="174"/>
      <c r="W22" s="49"/>
      <c r="X22" s="49"/>
      <c r="Y22" s="49"/>
      <c r="Z22" s="49"/>
      <c r="AA22" s="49"/>
      <c r="AB22" s="49"/>
      <c r="AC22" s="49"/>
      <c r="AD22" s="50"/>
    </row>
    <row r="23" spans="1:30" ht="13.5" thickBot="1">
      <c r="A23" s="49"/>
      <c r="B23" s="143"/>
      <c r="C23" s="144"/>
      <c r="D23" s="144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49"/>
      <c r="X23" s="49"/>
      <c r="Y23" s="49"/>
      <c r="Z23" s="49"/>
      <c r="AA23" s="49"/>
      <c r="AB23" s="49"/>
      <c r="AC23" s="49"/>
      <c r="AD23" s="50"/>
    </row>
    <row r="24" spans="1:30" ht="25.5">
      <c r="A24" s="49"/>
      <c r="B24" s="146" t="s">
        <v>26</v>
      </c>
      <c r="C24" s="147" t="s">
        <v>54</v>
      </c>
      <c r="D24" s="260" t="s">
        <v>108</v>
      </c>
      <c r="E24" s="147" t="s">
        <v>2</v>
      </c>
      <c r="F24" s="147" t="s">
        <v>3</v>
      </c>
      <c r="G24" s="147" t="s">
        <v>4</v>
      </c>
      <c r="H24" s="148" t="s">
        <v>61</v>
      </c>
      <c r="I24" s="147" t="s">
        <v>5</v>
      </c>
      <c r="J24" s="147" t="s">
        <v>6</v>
      </c>
      <c r="K24" s="147" t="s">
        <v>7</v>
      </c>
      <c r="L24" s="148" t="s">
        <v>62</v>
      </c>
      <c r="M24" s="147" t="s">
        <v>8</v>
      </c>
      <c r="N24" s="147" t="s">
        <v>9</v>
      </c>
      <c r="O24" s="147" t="s">
        <v>10</v>
      </c>
      <c r="P24" s="148" t="s">
        <v>63</v>
      </c>
      <c r="Q24" s="147" t="s">
        <v>11</v>
      </c>
      <c r="R24" s="147" t="s">
        <v>12</v>
      </c>
      <c r="S24" s="147" t="s">
        <v>13</v>
      </c>
      <c r="T24" s="148" t="s">
        <v>65</v>
      </c>
      <c r="U24" s="147" t="s">
        <v>53</v>
      </c>
      <c r="V24" s="149" t="s">
        <v>36</v>
      </c>
      <c r="W24" s="49"/>
      <c r="X24" s="49"/>
      <c r="Y24" s="49"/>
      <c r="Z24" s="49"/>
      <c r="AA24" s="49"/>
      <c r="AB24" s="49"/>
      <c r="AC24" s="49"/>
      <c r="AD24" s="50"/>
    </row>
    <row r="25" spans="1:30" ht="12.75">
      <c r="A25" s="49"/>
      <c r="B25" s="126" t="s">
        <v>18</v>
      </c>
      <c r="C25" s="127">
        <f>SUM(C26:C28)</f>
        <v>199350668.44</v>
      </c>
      <c r="D25" s="127">
        <f>SUM(D26:D28)</f>
        <v>11500000</v>
      </c>
      <c r="E25" s="127">
        <f>SUM(E26:E28)</f>
        <v>25313285.625335589</v>
      </c>
      <c r="F25" s="127">
        <f t="shared" ref="F25:M25" si="8">SUM(F26:F28)</f>
        <v>17445995.431021452</v>
      </c>
      <c r="G25" s="127">
        <f t="shared" si="8"/>
        <v>17658203.058951568</v>
      </c>
      <c r="H25" s="128">
        <f>SUM(H26:H28)</f>
        <v>60417484.115308605</v>
      </c>
      <c r="I25" s="127">
        <f t="shared" si="8"/>
        <v>15521412.735774938</v>
      </c>
      <c r="J25" s="127">
        <f t="shared" si="8"/>
        <v>12710647.541623252</v>
      </c>
      <c r="K25" s="127">
        <f t="shared" si="8"/>
        <v>13537686.953709142</v>
      </c>
      <c r="L25" s="128">
        <f>SUM(L26:L28)</f>
        <v>41769747.231107332</v>
      </c>
      <c r="M25" s="127">
        <f t="shared" si="8"/>
        <v>16762250.160532927</v>
      </c>
      <c r="N25" s="127">
        <f t="shared" ref="N25:V25" si="9">SUM(N26:N30)</f>
        <v>15975107.846024677</v>
      </c>
      <c r="O25" s="127">
        <f t="shared" si="9"/>
        <v>15628403.773040298</v>
      </c>
      <c r="P25" s="128">
        <f t="shared" si="9"/>
        <v>48365761.779597901</v>
      </c>
      <c r="Q25" s="127">
        <f t="shared" si="9"/>
        <v>17071161.344035365</v>
      </c>
      <c r="R25" s="127">
        <f t="shared" si="9"/>
        <v>15959058.857695777</v>
      </c>
      <c r="S25" s="127">
        <f t="shared" si="9"/>
        <v>19013802.768009078</v>
      </c>
      <c r="T25" s="128">
        <f t="shared" si="9"/>
        <v>52044022.969740219</v>
      </c>
      <c r="U25" s="127">
        <f t="shared" si="9"/>
        <v>8249652.349479707</v>
      </c>
      <c r="V25" s="129">
        <f t="shared" si="9"/>
        <v>210846668.44523376</v>
      </c>
      <c r="W25" s="49"/>
      <c r="X25" s="95"/>
      <c r="Y25" s="49"/>
      <c r="Z25" s="49"/>
      <c r="AA25" s="49"/>
      <c r="AB25" s="49"/>
      <c r="AC25" s="49"/>
      <c r="AD25" s="50"/>
    </row>
    <row r="26" spans="1:30" ht="12.75">
      <c r="A26" s="49"/>
      <c r="B26" s="150" t="s">
        <v>19</v>
      </c>
      <c r="C26" s="131">
        <f>'Cronograma Previsto'!C28</f>
        <v>91444096.409999996</v>
      </c>
      <c r="D26" s="131"/>
      <c r="E26" s="131">
        <f>+C26*'Despesa 19_20_21'!D135</f>
        <v>4809689.193323385</v>
      </c>
      <c r="F26" s="131">
        <f>+C26*'Despesa 19_20_21'!F135</f>
        <v>7284644.1169280577</v>
      </c>
      <c r="G26" s="131">
        <f>+C26*'Despesa 19_20_21'!H135</f>
        <v>7576176.1325341789</v>
      </c>
      <c r="H26" s="132">
        <f>SUM(E26:G26)</f>
        <v>19670509.442785621</v>
      </c>
      <c r="I26" s="131">
        <f>+C26*'Despesa 19_20_21'!J135</f>
        <v>7314637.591923805</v>
      </c>
      <c r="J26" s="131">
        <f>+C26*'Despesa 19_20_21'!L135</f>
        <v>6180216.3477271246</v>
      </c>
      <c r="K26" s="131">
        <f>+C26*'Despesa 19_20_21'!N135</f>
        <v>7400434.4066710593</v>
      </c>
      <c r="L26" s="132">
        <f>SUM(I26:K26)</f>
        <v>20895288.346321989</v>
      </c>
      <c r="M26" s="131">
        <f>+C26*'Despesa 19_20_21'!P135</f>
        <v>7986462.7526489701</v>
      </c>
      <c r="N26" s="131">
        <f>+C26*'Despesa 19_20_21'!R135</f>
        <v>7560662.3368672645</v>
      </c>
      <c r="O26" s="131">
        <f>+C26*'Despesa 19_20_21'!T135</f>
        <v>7360305.8437531292</v>
      </c>
      <c r="P26" s="132">
        <f>SUM(M26:O26)</f>
        <v>22907430.933269363</v>
      </c>
      <c r="Q26" s="131">
        <f>+C26*'Despesa 19_20_21'!V135</f>
        <v>8549933.0129901748</v>
      </c>
      <c r="R26" s="131">
        <f>+C26*'Despesa 19_20_21'!X135</f>
        <v>7801148.883814075</v>
      </c>
      <c r="S26" s="131">
        <f>+C26*'Despesa 19_20_21'!Z135-5230557.39</f>
        <v>8570184.5786166154</v>
      </c>
      <c r="T26" s="132">
        <f>SUM(Q26:S26)</f>
        <v>24921266.475420866</v>
      </c>
      <c r="U26" s="131">
        <f>+C26*'Despesa 19_20_21'!AB135</f>
        <v>3989816.1797806122</v>
      </c>
      <c r="V26" s="133">
        <f>+E26+F26+G26+I26+J26+K26+M26+N26+O26+Q26+R26+S26+U26</f>
        <v>92384311.377578467</v>
      </c>
      <c r="W26" s="49"/>
      <c r="X26" s="95"/>
      <c r="Y26" s="49"/>
      <c r="Z26" s="49"/>
      <c r="AA26" s="49"/>
      <c r="AB26" s="49"/>
      <c r="AC26" s="49"/>
      <c r="AD26" s="50"/>
    </row>
    <row r="27" spans="1:30" ht="12.75">
      <c r="A27" s="49"/>
      <c r="B27" s="150" t="s">
        <v>20</v>
      </c>
      <c r="C27" s="131">
        <v>0</v>
      </c>
      <c r="D27" s="131"/>
      <c r="E27" s="131">
        <f>+C27*'Despesa 19_20_21'!D136</f>
        <v>0</v>
      </c>
      <c r="F27" s="131">
        <f>+C27*'Despesa 19_20_21'!F136</f>
        <v>0</v>
      </c>
      <c r="G27" s="131">
        <f>+C27*'Despesa 19_20_21'!H136</f>
        <v>0</v>
      </c>
      <c r="H27" s="132">
        <f>SUM(E27:G27)</f>
        <v>0</v>
      </c>
      <c r="I27" s="131">
        <f>+C27*'Despesa 19_20_21'!J136</f>
        <v>0</v>
      </c>
      <c r="J27" s="131">
        <f>+C27*'Despesa 19_20_21'!L136</f>
        <v>0</v>
      </c>
      <c r="K27" s="131">
        <f>+C27*'Despesa 19_20_21'!N136</f>
        <v>0</v>
      </c>
      <c r="L27" s="132">
        <f>SUM(I27:K27)</f>
        <v>0</v>
      </c>
      <c r="M27" s="131">
        <f>+C27*'Despesa 19_20_21'!P136</f>
        <v>0</v>
      </c>
      <c r="N27" s="131">
        <f>+C27*'Despesa 19_20_21'!R136</f>
        <v>0</v>
      </c>
      <c r="O27" s="131">
        <f>+C27*'Despesa 19_20_21'!T136</f>
        <v>0</v>
      </c>
      <c r="P27" s="132">
        <f>SUM(M27:O27)</f>
        <v>0</v>
      </c>
      <c r="Q27" s="131">
        <f>+C27*'Despesa 19_20_21'!V136</f>
        <v>0</v>
      </c>
      <c r="R27" s="131">
        <f>+C27*'Despesa 19_20_21'!X136</f>
        <v>0</v>
      </c>
      <c r="S27" s="131">
        <f>+C27*'Despesa 19_20_21'!Z136</f>
        <v>0</v>
      </c>
      <c r="T27" s="132">
        <f>SUM(Q27:S27)</f>
        <v>0</v>
      </c>
      <c r="U27" s="131">
        <f>+C27*'Despesa 19_20_21'!AB136</f>
        <v>0</v>
      </c>
      <c r="V27" s="133">
        <f t="shared" ref="V27:V34" si="10">+E27+F27+G27+I27+J27+K27+M27+N27+O27+Q27+R27+S27+U27</f>
        <v>0</v>
      </c>
      <c r="W27" s="49"/>
      <c r="X27" s="49"/>
      <c r="Y27" s="49"/>
      <c r="Z27" s="49"/>
      <c r="AA27" s="49"/>
      <c r="AB27" s="49"/>
      <c r="AC27" s="49"/>
      <c r="AD27" s="50"/>
    </row>
    <row r="28" spans="1:30" ht="12.75">
      <c r="A28" s="49"/>
      <c r="B28" s="150" t="s">
        <v>21</v>
      </c>
      <c r="C28" s="131">
        <f>'Cronograma Previsto'!C30</f>
        <v>107906572.03</v>
      </c>
      <c r="D28" s="131">
        <v>11500000</v>
      </c>
      <c r="E28" s="131">
        <f>'Cronograma Previsto'!D30</f>
        <v>20503596.432012204</v>
      </c>
      <c r="F28" s="131">
        <f>+C28*'Despesa 19_20_21'!F137</f>
        <v>10161351.314093392</v>
      </c>
      <c r="G28" s="131">
        <f>'Cronograma Previsto'!F30</f>
        <v>10082026.92641739</v>
      </c>
      <c r="H28" s="132">
        <f>SUM(E28:G28)</f>
        <v>40746974.672522984</v>
      </c>
      <c r="I28" s="131">
        <f>'Cronograma Previsto'!H30</f>
        <v>8206775.1438511331</v>
      </c>
      <c r="J28" s="131">
        <f>+C28*'Despesa 19_20_21'!L137</f>
        <v>6530431.1938961269</v>
      </c>
      <c r="K28" s="131">
        <f>'Cronograma Previsto'!J30</f>
        <v>6137252.547038083</v>
      </c>
      <c r="L28" s="132">
        <f>SUM(I28:K28)</f>
        <v>20874458.884785343</v>
      </c>
      <c r="M28" s="131">
        <f>+C28*'Despesa 19_20_21'!P137+1916000</f>
        <v>8775787.407883957</v>
      </c>
      <c r="N28" s="131">
        <f>+C28*'Despesa 19_20_21'!R137+1916000</f>
        <v>8414445.5091574118</v>
      </c>
      <c r="O28" s="131">
        <f>+C28*'Despesa 19_20_21'!T137+1916000</f>
        <v>8268097.9292871682</v>
      </c>
      <c r="P28" s="132">
        <f>SUM(M28:O28)</f>
        <v>25458330.846328538</v>
      </c>
      <c r="Q28" s="131">
        <f>+C28*'Despesa 19_20_21'!V137+1916000</f>
        <v>8521228.331045188</v>
      </c>
      <c r="R28" s="131">
        <f>+C28*'Despesa 19_20_21'!X137+1916000</f>
        <v>8157909.9738817029</v>
      </c>
      <c r="S28" s="131">
        <f>+C28*'Despesa 19_20_21'!Z137-2736472.75+1916000</f>
        <v>10443618.189392462</v>
      </c>
      <c r="T28" s="132">
        <f>SUM(Q28:S28)</f>
        <v>27122756.494319353</v>
      </c>
      <c r="U28" s="131">
        <f>+C28*'Despesa 19_20_21'!AB137-4000000</f>
        <v>4259836.1696990943</v>
      </c>
      <c r="V28" s="133">
        <f t="shared" si="10"/>
        <v>118462357.06765531</v>
      </c>
      <c r="W28" s="49"/>
      <c r="X28" s="95"/>
      <c r="Y28" s="49"/>
      <c r="Z28" s="49"/>
      <c r="AA28" s="49"/>
      <c r="AB28" s="49"/>
      <c r="AC28" s="49"/>
      <c r="AD28" s="50"/>
    </row>
    <row r="29" spans="1:30" ht="12.75">
      <c r="A29" s="49"/>
      <c r="B29" s="150" t="s">
        <v>74</v>
      </c>
      <c r="C29" s="131"/>
      <c r="D29" s="131"/>
      <c r="E29" s="131"/>
      <c r="F29" s="131"/>
      <c r="G29" s="131"/>
      <c r="H29" s="132"/>
      <c r="I29" s="131"/>
      <c r="J29" s="131"/>
      <c r="K29" s="131"/>
      <c r="L29" s="132"/>
      <c r="M29" s="131"/>
      <c r="N29" s="131"/>
      <c r="O29" s="131"/>
      <c r="P29" s="132"/>
      <c r="Q29" s="131"/>
      <c r="R29" s="131"/>
      <c r="S29" s="131"/>
      <c r="T29" s="132"/>
      <c r="U29" s="131"/>
      <c r="V29" s="133"/>
      <c r="W29" s="49"/>
      <c r="X29" s="49"/>
      <c r="Y29" s="49"/>
      <c r="Z29" s="49"/>
      <c r="AA29" s="49"/>
      <c r="AB29" s="49"/>
      <c r="AC29" s="49"/>
      <c r="AD29" s="50"/>
    </row>
    <row r="30" spans="1:30" ht="12.75">
      <c r="A30" s="49"/>
      <c r="B30" s="150" t="s">
        <v>75</v>
      </c>
      <c r="C30" s="131"/>
      <c r="D30" s="131"/>
      <c r="E30" s="131"/>
      <c r="F30" s="131"/>
      <c r="G30" s="131"/>
      <c r="H30" s="132"/>
      <c r="I30" s="131"/>
      <c r="J30" s="131"/>
      <c r="K30" s="131"/>
      <c r="L30" s="132"/>
      <c r="M30" s="131"/>
      <c r="N30" s="131"/>
      <c r="O30" s="131">
        <v>0</v>
      </c>
      <c r="P30" s="132">
        <f>SUM(M30:O30)</f>
        <v>0</v>
      </c>
      <c r="Q30" s="131">
        <v>0</v>
      </c>
      <c r="R30" s="131">
        <v>0</v>
      </c>
      <c r="S30" s="131">
        <v>0</v>
      </c>
      <c r="T30" s="132">
        <f>SUM(Q30:S30)</f>
        <v>0</v>
      </c>
      <c r="U30" s="131"/>
      <c r="V30" s="133"/>
      <c r="W30" s="49"/>
      <c r="X30" s="49"/>
      <c r="Y30" s="49"/>
      <c r="Z30" s="49"/>
      <c r="AA30" s="49"/>
      <c r="AB30" s="49"/>
      <c r="AC30" s="49"/>
      <c r="AD30" s="50"/>
    </row>
    <row r="31" spans="1:30" ht="12.75">
      <c r="A31" s="49"/>
      <c r="B31" s="126" t="s">
        <v>22</v>
      </c>
      <c r="C31" s="127">
        <f>SUM(C32:C34)</f>
        <v>6629824.0199999996</v>
      </c>
      <c r="D31" s="127">
        <f>SUM(D32:D35)</f>
        <v>2000000</v>
      </c>
      <c r="E31" s="127">
        <f t="shared" ref="E31:N31" si="11">SUM(E32:E34)</f>
        <v>1300000</v>
      </c>
      <c r="F31" s="127">
        <f t="shared" si="11"/>
        <v>6810.15780347279</v>
      </c>
      <c r="G31" s="127">
        <f t="shared" si="11"/>
        <v>1501690.1573457709</v>
      </c>
      <c r="H31" s="128">
        <f t="shared" si="11"/>
        <v>2808500.3151492439</v>
      </c>
      <c r="I31" s="127">
        <f t="shared" si="11"/>
        <v>1022303.4026341533</v>
      </c>
      <c r="J31" s="127">
        <f t="shared" si="11"/>
        <v>2469715.5998422257</v>
      </c>
      <c r="K31" s="127">
        <f t="shared" si="11"/>
        <v>22512.895845669376</v>
      </c>
      <c r="L31" s="128">
        <f t="shared" si="11"/>
        <v>3514531.8983220481</v>
      </c>
      <c r="M31" s="127">
        <f t="shared" si="11"/>
        <v>333000.0022869478</v>
      </c>
      <c r="N31" s="127">
        <f t="shared" si="11"/>
        <v>334000</v>
      </c>
      <c r="O31" s="127">
        <f>SUM(O32:O35)</f>
        <v>337212.53720680944</v>
      </c>
      <c r="P31" s="128">
        <f t="shared" ref="P31:U31" si="12">SUM(P32:P35)</f>
        <v>1004212.5394937573</v>
      </c>
      <c r="Q31" s="127">
        <f>SUM(Q32:Q35)</f>
        <v>338489.80161870201</v>
      </c>
      <c r="R31" s="127">
        <f>SUM(R32:R35)</f>
        <v>335764.70836550993</v>
      </c>
      <c r="S31" s="127">
        <f>SUM(S32:S35)</f>
        <v>346310.89099954721</v>
      </c>
      <c r="T31" s="128">
        <f t="shared" si="12"/>
        <v>1020565.4009837592</v>
      </c>
      <c r="U31" s="127">
        <f t="shared" si="12"/>
        <v>286013.86318883195</v>
      </c>
      <c r="V31" s="129">
        <f>SUM(V32:V34)</f>
        <v>8633824.0171376392</v>
      </c>
      <c r="W31" s="49"/>
      <c r="X31" s="49"/>
      <c r="Y31" s="95"/>
      <c r="Z31" s="49"/>
      <c r="AA31" s="49"/>
      <c r="AB31" s="49"/>
      <c r="AC31" s="49"/>
      <c r="AD31" s="50"/>
    </row>
    <row r="32" spans="1:30" ht="12.75">
      <c r="A32" s="49"/>
      <c r="B32" s="151" t="s">
        <v>23</v>
      </c>
      <c r="C32" s="131">
        <f>'Cronograma Previsto'!C32</f>
        <v>6629824.0199999996</v>
      </c>
      <c r="D32" s="131">
        <v>2000000</v>
      </c>
      <c r="E32" s="131">
        <f>+C32*'Despesa 19_20_21'!D139+1300000</f>
        <v>1300000</v>
      </c>
      <c r="F32" s="131">
        <f>+C32*'Despesa 19_20_21'!F139</f>
        <v>6810.15780347279</v>
      </c>
      <c r="G32" s="131">
        <f>+C32*'Despesa 19_20_21'!H139+1500000</f>
        <v>1501690.1573457709</v>
      </c>
      <c r="H32" s="132">
        <f>SUM(E32:G32)</f>
        <v>2808500.3151492439</v>
      </c>
      <c r="I32" s="131">
        <f>+C32*'Despesa 19_20_21'!J139</f>
        <v>1022303.4026341533</v>
      </c>
      <c r="J32" s="131">
        <f>+C32*'Despesa 19_20_21'!L139+1200000</f>
        <v>2469715.5998422257</v>
      </c>
      <c r="K32" s="131">
        <f>+C32*'Despesa 19_20_21'!N139</f>
        <v>22512.895845669376</v>
      </c>
      <c r="L32" s="132">
        <f>SUM(I32:K32)</f>
        <v>3514531.8983220481</v>
      </c>
      <c r="M32" s="131">
        <f>+C32*'Despesa 19_20_21'!P139-1743163.34+333000</f>
        <v>333000.0022869478</v>
      </c>
      <c r="N32" s="131">
        <f>+C32*'Despesa 19_20_21'!R139+334000</f>
        <v>334000</v>
      </c>
      <c r="O32" s="131">
        <f>+C32*'Despesa 19_20_21'!T139-390000+334000</f>
        <v>337212.53720680944</v>
      </c>
      <c r="P32" s="132">
        <f>SUM(M32:O32)</f>
        <v>1004212.5394937573</v>
      </c>
      <c r="Q32" s="131">
        <f>+C32*'Despesa 19_20_21'!V139-670000+333000</f>
        <v>338489.80161870201</v>
      </c>
      <c r="R32" s="131">
        <f>+C32*'Despesa 19_20_21'!X139-315000+334000</f>
        <v>335764.70836550993</v>
      </c>
      <c r="S32" s="131">
        <f>+C32*'Despesa 19_20_21'!Z139-1500000+334000+2000</f>
        <v>346310.89099954721</v>
      </c>
      <c r="T32" s="132">
        <f>SUM(Q32:S32)</f>
        <v>1020565.4009837592</v>
      </c>
      <c r="U32" s="131">
        <f>+C32*'Despesa 19_20_21'!AB139-9600000+15332.54+98309.83</f>
        <v>286013.86318883195</v>
      </c>
      <c r="V32" s="133">
        <f t="shared" si="10"/>
        <v>8633824.0171376392</v>
      </c>
      <c r="W32" s="49"/>
      <c r="X32" s="95"/>
      <c r="Y32" s="95"/>
      <c r="Z32" s="49"/>
      <c r="AA32" s="49"/>
      <c r="AB32" s="49"/>
      <c r="AC32" s="49"/>
      <c r="AD32" s="50"/>
    </row>
    <row r="33" spans="1:30" ht="12.75">
      <c r="A33" s="49"/>
      <c r="B33" s="150" t="s">
        <v>24</v>
      </c>
      <c r="C33" s="131">
        <v>0</v>
      </c>
      <c r="D33" s="131"/>
      <c r="E33" s="131">
        <f>+C33*'Despesa 19_20_21'!D140</f>
        <v>0</v>
      </c>
      <c r="F33" s="131">
        <f>+C33*'Despesa 19_20_21'!F140</f>
        <v>0</v>
      </c>
      <c r="G33" s="131">
        <f>+C33*'Despesa 19_20_21'!H140</f>
        <v>0</v>
      </c>
      <c r="H33" s="132">
        <f>SUM(E33:G33)</f>
        <v>0</v>
      </c>
      <c r="I33" s="131">
        <f>+C33*'Despesa 19_20_21'!J140</f>
        <v>0</v>
      </c>
      <c r="J33" s="131">
        <f>+C33*'Despesa 19_20_21'!L140</f>
        <v>0</v>
      </c>
      <c r="K33" s="131">
        <f>+C33*'Despesa 19_20_21'!N140</f>
        <v>0</v>
      </c>
      <c r="L33" s="132">
        <f>SUM(I33:K33)</f>
        <v>0</v>
      </c>
      <c r="M33" s="131">
        <f>+C33*'Despesa 19_20_21'!P140</f>
        <v>0</v>
      </c>
      <c r="N33" s="131">
        <f>+C33*'Despesa 19_20_21'!R140</f>
        <v>0</v>
      </c>
      <c r="O33" s="131">
        <f>+C33*'Despesa 19_20_21'!T140</f>
        <v>0</v>
      </c>
      <c r="P33" s="132">
        <f>SUM(M33:O33)</f>
        <v>0</v>
      </c>
      <c r="Q33" s="131">
        <f>+C33*'Despesa 19_20_21'!V140</f>
        <v>0</v>
      </c>
      <c r="R33" s="131">
        <f>+C33*'Despesa 19_20_21'!X140</f>
        <v>0</v>
      </c>
      <c r="S33" s="131">
        <f>+C33*'Despesa 19_20_21'!Z140</f>
        <v>0</v>
      </c>
      <c r="T33" s="132">
        <f>SUM(Q33:S33)</f>
        <v>0</v>
      </c>
      <c r="U33" s="131">
        <f>+C33*'Despesa 19_20_21'!AB140</f>
        <v>0</v>
      </c>
      <c r="V33" s="133">
        <f t="shared" si="10"/>
        <v>0</v>
      </c>
      <c r="W33" s="49"/>
      <c r="X33" s="49"/>
      <c r="Y33" s="95"/>
      <c r="Z33" s="49"/>
      <c r="AA33" s="49"/>
      <c r="AB33" s="49"/>
      <c r="AC33" s="49"/>
      <c r="AD33" s="50"/>
    </row>
    <row r="34" spans="1:30" ht="12.75">
      <c r="A34" s="49"/>
      <c r="B34" s="150" t="s">
        <v>25</v>
      </c>
      <c r="C34" s="131">
        <v>0</v>
      </c>
      <c r="D34" s="131"/>
      <c r="E34" s="131">
        <f>+C34*'Despesa 19_20_21'!D141</f>
        <v>0</v>
      </c>
      <c r="F34" s="131">
        <f>+C34*'Despesa 19_20_21'!F141</f>
        <v>0</v>
      </c>
      <c r="G34" s="131">
        <f>+C34*'Despesa 19_20_21'!H141</f>
        <v>0</v>
      </c>
      <c r="H34" s="132">
        <f>SUM(E34:G34)</f>
        <v>0</v>
      </c>
      <c r="I34" s="131">
        <f>+C34*'Despesa 19_20_21'!J141</f>
        <v>0</v>
      </c>
      <c r="J34" s="131">
        <f>+C34*'Despesa 19_20_21'!L141</f>
        <v>0</v>
      </c>
      <c r="K34" s="131">
        <f>+C34*'Despesa 19_20_21'!N141</f>
        <v>0</v>
      </c>
      <c r="L34" s="132">
        <f>SUM(I34:K34)</f>
        <v>0</v>
      </c>
      <c r="M34" s="131">
        <f>+C34*'Despesa 19_20_21'!P141</f>
        <v>0</v>
      </c>
      <c r="N34" s="131">
        <f>+C34*'Despesa 19_20_21'!R141</f>
        <v>0</v>
      </c>
      <c r="O34" s="131">
        <f>+C34*'Despesa 19_20_21'!T141</f>
        <v>0</v>
      </c>
      <c r="P34" s="132">
        <f>SUM(M34:O34)</f>
        <v>0</v>
      </c>
      <c r="Q34" s="131">
        <f>+C34*'Despesa 19_20_21'!V141</f>
        <v>0</v>
      </c>
      <c r="R34" s="131">
        <f>+C34*'Despesa 19_20_21'!X141</f>
        <v>0</v>
      </c>
      <c r="S34" s="131">
        <f>+C34*'Despesa 19_20_21'!Z141</f>
        <v>0</v>
      </c>
      <c r="T34" s="132">
        <f>SUM(Q34:S34)</f>
        <v>0</v>
      </c>
      <c r="U34" s="131">
        <f>+C34*'Despesa 19_20_21'!AB141</f>
        <v>0</v>
      </c>
      <c r="V34" s="133">
        <f t="shared" si="10"/>
        <v>0</v>
      </c>
      <c r="W34" s="49"/>
      <c r="X34" s="49"/>
      <c r="Y34" s="95"/>
      <c r="Z34" s="49"/>
      <c r="AA34" s="49"/>
      <c r="AB34" s="49"/>
      <c r="AC34" s="49"/>
      <c r="AD34" s="50"/>
    </row>
    <row r="35" spans="1:30" ht="13.5" thickBot="1">
      <c r="A35" s="49"/>
      <c r="B35" s="150" t="s">
        <v>76</v>
      </c>
      <c r="C35" s="131"/>
      <c r="D35" s="131"/>
      <c r="E35" s="131"/>
      <c r="F35" s="131"/>
      <c r="G35" s="131"/>
      <c r="H35" s="132"/>
      <c r="I35" s="131"/>
      <c r="J35" s="131"/>
      <c r="K35" s="131"/>
      <c r="L35" s="132"/>
      <c r="M35" s="131"/>
      <c r="N35" s="131"/>
      <c r="O35" s="131">
        <v>0</v>
      </c>
      <c r="P35" s="132">
        <f>SUM(M35:O35)</f>
        <v>0</v>
      </c>
      <c r="Q35" s="131">
        <v>0</v>
      </c>
      <c r="R35" s="131">
        <v>0</v>
      </c>
      <c r="S35" s="131">
        <v>0</v>
      </c>
      <c r="T35" s="132">
        <f>SUM(Q35:S35)</f>
        <v>0</v>
      </c>
      <c r="U35" s="131">
        <f>O35+T35</f>
        <v>0</v>
      </c>
      <c r="V35" s="133"/>
      <c r="W35" s="49"/>
      <c r="X35" s="49"/>
      <c r="Y35" s="95"/>
      <c r="Z35" s="49"/>
      <c r="AA35" s="49"/>
      <c r="AB35" s="49"/>
      <c r="AC35" s="49"/>
      <c r="AD35" s="50"/>
    </row>
    <row r="36" spans="1:30" ht="13.5" thickBot="1">
      <c r="A36" s="49"/>
      <c r="B36" s="134" t="s">
        <v>17</v>
      </c>
      <c r="C36" s="152">
        <f t="shared" ref="C36:V36" si="13">+C25+C31</f>
        <v>205980492.46000001</v>
      </c>
      <c r="D36" s="152">
        <f t="shared" si="13"/>
        <v>13500000</v>
      </c>
      <c r="E36" s="135">
        <f t="shared" si="13"/>
        <v>26613285.625335589</v>
      </c>
      <c r="F36" s="135">
        <f t="shared" si="13"/>
        <v>17452805.588824924</v>
      </c>
      <c r="G36" s="135">
        <f t="shared" si="13"/>
        <v>19159893.21629734</v>
      </c>
      <c r="H36" s="136">
        <f t="shared" si="13"/>
        <v>63225984.430457845</v>
      </c>
      <c r="I36" s="135">
        <f t="shared" si="13"/>
        <v>16543716.138409091</v>
      </c>
      <c r="J36" s="135">
        <f t="shared" si="13"/>
        <v>15180363.141465478</v>
      </c>
      <c r="K36" s="135">
        <f t="shared" si="13"/>
        <v>13560199.849554813</v>
      </c>
      <c r="L36" s="136">
        <f t="shared" si="13"/>
        <v>45284279.129429378</v>
      </c>
      <c r="M36" s="135">
        <f t="shared" si="13"/>
        <v>17095250.162819874</v>
      </c>
      <c r="N36" s="135">
        <f t="shared" ref="N36:T36" si="14">+N25+N30+N31</f>
        <v>16309107.846024677</v>
      </c>
      <c r="O36" s="135">
        <f t="shared" si="14"/>
        <v>15965616.310247108</v>
      </c>
      <c r="P36" s="136">
        <f t="shared" si="14"/>
        <v>49369974.319091655</v>
      </c>
      <c r="Q36" s="135">
        <f>+Q25+Q30+Q31</f>
        <v>17409651.145654067</v>
      </c>
      <c r="R36" s="135">
        <f>+R25+R30+R31</f>
        <v>16294823.566061286</v>
      </c>
      <c r="S36" s="135">
        <f>+S25+S30+S31</f>
        <v>19360113.659008626</v>
      </c>
      <c r="T36" s="136">
        <f t="shared" si="14"/>
        <v>53064588.370723978</v>
      </c>
      <c r="U36" s="135">
        <f t="shared" si="13"/>
        <v>8535666.2126685381</v>
      </c>
      <c r="V36" s="137">
        <f t="shared" si="13"/>
        <v>219480492.46237141</v>
      </c>
      <c r="W36" s="49"/>
      <c r="X36" s="95"/>
      <c r="Y36" s="49"/>
      <c r="Z36" s="49"/>
      <c r="AA36" s="49"/>
      <c r="AB36" s="49"/>
      <c r="AC36" s="49"/>
      <c r="AD36" s="50"/>
    </row>
    <row r="37" spans="1:30" ht="13.5" thickBot="1">
      <c r="A37" s="49"/>
      <c r="B37" s="138" t="s">
        <v>64</v>
      </c>
      <c r="C37" s="153"/>
      <c r="D37" s="153"/>
      <c r="E37" s="140">
        <f>+E36/$C$36</f>
        <v>0.12920294202376328</v>
      </c>
      <c r="F37" s="140">
        <f t="shared" ref="F37:U37" si="15">+F36/$C$36</f>
        <v>8.4730380922912588E-2</v>
      </c>
      <c r="G37" s="140">
        <f t="shared" si="15"/>
        <v>9.3017998876850236E-2</v>
      </c>
      <c r="H37" s="141">
        <f t="shared" si="15"/>
        <v>0.30695132182352608</v>
      </c>
      <c r="I37" s="140">
        <f t="shared" si="15"/>
        <v>8.0316907396567022E-2</v>
      </c>
      <c r="J37" s="140">
        <f t="shared" si="15"/>
        <v>7.3698062181366028E-2</v>
      </c>
      <c r="K37" s="140">
        <f t="shared" si="15"/>
        <v>6.5832446983726436E-2</v>
      </c>
      <c r="L37" s="141">
        <f t="shared" si="15"/>
        <v>0.21984741656165946</v>
      </c>
      <c r="M37" s="140">
        <f t="shared" si="15"/>
        <v>8.2994510590072762E-2</v>
      </c>
      <c r="N37" s="140">
        <f t="shared" si="15"/>
        <v>7.9177924332770461E-2</v>
      </c>
      <c r="O37" s="140">
        <f t="shared" si="15"/>
        <v>7.7510331777401298E-2</v>
      </c>
      <c r="P37" s="141">
        <f t="shared" si="15"/>
        <v>0.23968276670024452</v>
      </c>
      <c r="Q37" s="140">
        <f t="shared" si="15"/>
        <v>8.4520873495022353E-2</v>
      </c>
      <c r="R37" s="140">
        <f t="shared" si="15"/>
        <v>7.91085766008916E-2</v>
      </c>
      <c r="S37" s="140">
        <f t="shared" si="15"/>
        <v>9.39900348221967E-2</v>
      </c>
      <c r="T37" s="141">
        <f t="shared" si="15"/>
        <v>0.25761948491811065</v>
      </c>
      <c r="U37" s="140">
        <f t="shared" si="15"/>
        <v>4.1439197036224708E-2</v>
      </c>
      <c r="V37" s="242">
        <f>+V36/$C$39</f>
        <v>1.0000000000108047</v>
      </c>
      <c r="W37" s="49"/>
      <c r="X37" s="49"/>
      <c r="Y37" s="95"/>
      <c r="Z37" s="49"/>
      <c r="AA37" s="49"/>
      <c r="AB37" s="49"/>
      <c r="AC37" s="49"/>
      <c r="AD37" s="50"/>
    </row>
    <row r="38" spans="1:30" ht="13.5" thickBot="1">
      <c r="A38" s="49"/>
      <c r="B38" s="154"/>
      <c r="C38" s="154"/>
      <c r="D38" s="154"/>
      <c r="E38" s="154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49"/>
      <c r="X38" s="49"/>
      <c r="Y38" s="49"/>
      <c r="Z38" s="49"/>
      <c r="AA38" s="49"/>
      <c r="AB38" s="49"/>
      <c r="AC38" s="49"/>
      <c r="AD38" s="50"/>
    </row>
    <row r="39" spans="1:30" ht="13.5" thickBot="1">
      <c r="A39" s="49"/>
      <c r="B39" s="134" t="s">
        <v>66</v>
      </c>
      <c r="C39" s="152">
        <f>C36+D36</f>
        <v>219480492.46000001</v>
      </c>
      <c r="D39" s="152">
        <f>D36</f>
        <v>13500000</v>
      </c>
      <c r="E39" s="135">
        <f>E21-E36</f>
        <v>14517296.976998761</v>
      </c>
      <c r="F39" s="135">
        <f>+E39+F21-F36</f>
        <v>23343990.618001435</v>
      </c>
      <c r="G39" s="135">
        <f>+F39+G21-G36</f>
        <v>20184198.885902371</v>
      </c>
      <c r="H39" s="136">
        <f>+H21-H36</f>
        <v>20184198.885902375</v>
      </c>
      <c r="I39" s="135">
        <f>+G39+I21-I36</f>
        <v>18688132.930476658</v>
      </c>
      <c r="J39" s="135">
        <f>+I39+J21-J36</f>
        <v>16917540.080213927</v>
      </c>
      <c r="K39" s="135">
        <f>+J39+K21-K36</f>
        <v>15208405.384105848</v>
      </c>
      <c r="L39" s="136">
        <f>+H39+L21-L36</f>
        <v>15208405.384105861</v>
      </c>
      <c r="M39" s="135">
        <f>+K39+M21-M36</f>
        <v>11223383.698348742</v>
      </c>
      <c r="N39" s="135">
        <f>+M39+N21-N36</f>
        <v>6432141.7432080209</v>
      </c>
      <c r="O39" s="135">
        <f>+N39+O21-O36</f>
        <v>1961629.3481574357</v>
      </c>
      <c r="P39" s="136">
        <f>+L39+P21-P36</f>
        <v>1961629.3481574506</v>
      </c>
      <c r="Q39" s="135">
        <f>+O39+Q21-Q36</f>
        <v>-1843500.9116900377</v>
      </c>
      <c r="R39" s="135">
        <f>+Q39+R21-R36</f>
        <v>-3878417.8114806488</v>
      </c>
      <c r="S39" s="135">
        <f>+R39+S21-S36</f>
        <v>-2733777.7903773487</v>
      </c>
      <c r="T39" s="136">
        <f>+P39+T21-T36</f>
        <v>-2733777.7903773338</v>
      </c>
      <c r="U39" s="137">
        <f>+S39-U36+1.39</f>
        <v>-11269442.613045886</v>
      </c>
      <c r="V39" s="145"/>
      <c r="W39" s="49"/>
      <c r="X39" s="49"/>
      <c r="Y39" s="49"/>
      <c r="Z39" s="49"/>
      <c r="AA39" s="49"/>
      <c r="AB39" s="49"/>
      <c r="AC39" s="49"/>
      <c r="AD39" s="50"/>
    </row>
    <row r="40" spans="1:30" ht="13.5" thickBot="1">
      <c r="A40" s="49"/>
      <c r="B40" s="138" t="s">
        <v>64</v>
      </c>
      <c r="C40" s="153"/>
      <c r="D40" s="153"/>
      <c r="E40" s="140">
        <f>+E39/C21</f>
        <v>6.972395070990399E-2</v>
      </c>
      <c r="F40" s="140">
        <f t="shared" ref="F40:U40" si="16">+F39/$C$21</f>
        <v>0.11211696321986263</v>
      </c>
      <c r="G40" s="140">
        <f t="shared" si="16"/>
        <v>9.6941055243914914E-2</v>
      </c>
      <c r="H40" s="141">
        <f t="shared" si="16"/>
        <v>9.6941055243914928E-2</v>
      </c>
      <c r="I40" s="140">
        <f>+I39/$C$21</f>
        <v>8.97557211489977E-2</v>
      </c>
      <c r="J40" s="140">
        <f t="shared" si="16"/>
        <v>8.1251884049389836E-2</v>
      </c>
      <c r="K40" s="140">
        <f t="shared" si="16"/>
        <v>7.3043219344325533E-2</v>
      </c>
      <c r="L40" s="141">
        <f t="shared" si="16"/>
        <v>7.3043219344325602E-2</v>
      </c>
      <c r="M40" s="140">
        <f t="shared" si="16"/>
        <v>5.3903881213001541E-2</v>
      </c>
      <c r="N40" s="140">
        <f t="shared" si="16"/>
        <v>3.0892413000375738E-2</v>
      </c>
      <c r="O40" s="140">
        <f t="shared" si="16"/>
        <v>9.4213508340246031E-3</v>
      </c>
      <c r="P40" s="141">
        <f t="shared" si="16"/>
        <v>9.4213508340246742E-3</v>
      </c>
      <c r="Q40" s="140">
        <f t="shared" si="16"/>
        <v>-8.8540013271060196E-3</v>
      </c>
      <c r="R40" s="140">
        <f t="shared" si="16"/>
        <v>-1.8627339011424944E-2</v>
      </c>
      <c r="S40" s="140">
        <f t="shared" si="16"/>
        <v>-1.3129840094206454E-2</v>
      </c>
      <c r="T40" s="141">
        <f t="shared" si="16"/>
        <v>-1.3129840094206383E-2</v>
      </c>
      <c r="U40" s="142">
        <f t="shared" si="16"/>
        <v>-5.412509384667457E-2</v>
      </c>
      <c r="V40" s="155"/>
      <c r="W40" s="49"/>
      <c r="X40" s="49"/>
      <c r="Y40" s="49"/>
      <c r="Z40" s="49"/>
      <c r="AA40" s="49"/>
      <c r="AB40" s="49"/>
      <c r="AC40" s="49"/>
      <c r="AD40" s="50"/>
    </row>
    <row r="41" spans="1:30" ht="12.75">
      <c r="A41" s="49"/>
      <c r="B41" s="154"/>
      <c r="C41" s="156"/>
      <c r="D41" s="156"/>
      <c r="E41" s="154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49"/>
      <c r="X41" s="49"/>
      <c r="Y41" s="49"/>
      <c r="Z41" s="49"/>
      <c r="AA41" s="49"/>
      <c r="AB41" s="49"/>
      <c r="AC41" s="49"/>
      <c r="AD41" s="50"/>
    </row>
    <row r="42" spans="1:30" ht="12.75">
      <c r="A42" s="49"/>
      <c r="B42" s="243"/>
      <c r="C42" s="244"/>
      <c r="D42" s="244"/>
      <c r="E42" s="244"/>
      <c r="F42" s="196"/>
      <c r="G42" s="196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49"/>
      <c r="X42" s="95"/>
      <c r="Y42" s="95"/>
      <c r="Z42" s="49"/>
      <c r="AA42" s="49"/>
      <c r="AB42" s="49"/>
      <c r="AC42" s="49"/>
      <c r="AD42" s="50"/>
    </row>
    <row r="43" spans="1:30" ht="12.75">
      <c r="A43" s="49"/>
      <c r="B43" s="197" t="s">
        <v>96</v>
      </c>
      <c r="C43" s="197"/>
      <c r="D43" s="197"/>
      <c r="E43" s="197"/>
      <c r="F43" s="197"/>
      <c r="G43" s="196"/>
      <c r="H43" s="196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245"/>
      <c r="V43" s="196"/>
      <c r="W43" s="49"/>
      <c r="X43" s="49"/>
      <c r="Y43" s="49"/>
      <c r="Z43" s="49"/>
      <c r="AA43" s="49"/>
      <c r="AB43" s="49"/>
      <c r="AC43" s="49"/>
      <c r="AD43" s="50"/>
    </row>
    <row r="44" spans="1:30" ht="12.75">
      <c r="A44" s="49"/>
      <c r="B44" s="197" t="s">
        <v>107</v>
      </c>
      <c r="C44" s="197"/>
      <c r="D44" s="197"/>
      <c r="E44" s="197"/>
      <c r="F44" s="197"/>
      <c r="G44" s="196"/>
      <c r="H44" s="196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6"/>
      <c r="V44" s="196"/>
      <c r="W44" s="49"/>
      <c r="X44" s="95">
        <f>X42-X41</f>
        <v>0</v>
      </c>
      <c r="Y44" s="49"/>
      <c r="Z44" s="49"/>
      <c r="AA44" s="49"/>
      <c r="AB44" s="49"/>
      <c r="AC44" s="49"/>
      <c r="AD44" s="50"/>
    </row>
    <row r="45" spans="1:30" ht="12.75">
      <c r="A45" s="49"/>
      <c r="B45" s="197" t="s">
        <v>106</v>
      </c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6"/>
      <c r="V45" s="196"/>
      <c r="W45" s="49"/>
      <c r="X45" s="49"/>
      <c r="Y45" s="49"/>
      <c r="Z45" s="49"/>
      <c r="AA45" s="49"/>
      <c r="AB45" s="49"/>
      <c r="AC45" s="49"/>
      <c r="AD45" s="50"/>
    </row>
    <row r="46" spans="1:30" ht="15">
      <c r="A46" s="49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246"/>
      <c r="V46" s="200"/>
      <c r="W46" s="49"/>
      <c r="X46" s="49"/>
      <c r="Y46" s="49"/>
      <c r="Z46" s="49"/>
      <c r="AA46" s="49"/>
      <c r="AB46" s="49"/>
      <c r="AC46" s="49"/>
      <c r="AD46" s="50"/>
    </row>
    <row r="47" spans="1:30">
      <c r="A47" s="49"/>
      <c r="B47" s="198"/>
      <c r="C47" s="200"/>
      <c r="D47" s="200"/>
      <c r="E47" s="200"/>
      <c r="F47" s="200"/>
      <c r="G47" s="200"/>
      <c r="H47" s="200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200"/>
      <c r="W47" s="49"/>
      <c r="X47" s="49"/>
      <c r="Y47" s="49"/>
      <c r="Z47" s="49"/>
      <c r="AA47" s="49"/>
      <c r="AB47" s="49"/>
      <c r="AC47" s="49"/>
      <c r="AD47" s="50"/>
    </row>
    <row r="48" spans="1:30">
      <c r="A48" s="49"/>
      <c r="B48" s="198"/>
      <c r="C48" s="198"/>
      <c r="D48" s="198"/>
      <c r="E48" s="198"/>
      <c r="F48" s="198"/>
      <c r="G48" s="198"/>
      <c r="H48" s="198"/>
      <c r="I48" s="247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200"/>
      <c r="V48" s="200"/>
      <c r="W48" s="49"/>
      <c r="X48" s="49"/>
      <c r="Y48" s="49"/>
      <c r="Z48" s="49"/>
      <c r="AA48" s="49"/>
      <c r="AB48" s="49"/>
      <c r="AC48" s="49"/>
      <c r="AD48" s="50"/>
    </row>
    <row r="49" spans="1:30">
      <c r="A49" s="49"/>
      <c r="B49" s="198"/>
      <c r="C49" s="198"/>
      <c r="D49" s="198"/>
      <c r="E49" s="198"/>
      <c r="F49" s="198"/>
      <c r="G49" s="198"/>
      <c r="H49" s="198"/>
      <c r="I49" s="247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200"/>
      <c r="V49" s="200"/>
      <c r="W49" s="49"/>
      <c r="X49" s="49"/>
      <c r="Y49" s="49"/>
      <c r="Z49" s="49"/>
      <c r="AA49" s="49"/>
      <c r="AB49" s="49"/>
      <c r="AC49" s="49"/>
      <c r="AD49" s="50"/>
    </row>
    <row r="50" spans="1:30">
      <c r="A50" s="49"/>
      <c r="B50" s="198"/>
      <c r="C50" s="198"/>
      <c r="D50" s="198"/>
      <c r="E50" s="198"/>
      <c r="F50" s="198"/>
      <c r="G50" s="198"/>
      <c r="H50" s="198"/>
      <c r="I50" s="247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200"/>
      <c r="W50" s="49"/>
      <c r="X50" s="49"/>
      <c r="Y50" s="49"/>
      <c r="Z50" s="49"/>
      <c r="AA50" s="49"/>
      <c r="AB50" s="49"/>
      <c r="AC50" s="49"/>
      <c r="AD50" s="50"/>
    </row>
    <row r="51" spans="1:30">
      <c r="A51" s="49"/>
      <c r="B51" s="201"/>
      <c r="C51" s="198"/>
      <c r="D51" s="198"/>
      <c r="E51" s="248"/>
      <c r="F51" s="248"/>
      <c r="G51" s="248"/>
      <c r="H51" s="248"/>
      <c r="I51" s="247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49"/>
      <c r="X51" s="49"/>
      <c r="Y51" s="49"/>
      <c r="Z51" s="49"/>
      <c r="AA51" s="49"/>
      <c r="AB51" s="49"/>
      <c r="AC51" s="49"/>
      <c r="AD51" s="50"/>
    </row>
    <row r="52" spans="1:30">
      <c r="A52" s="49"/>
      <c r="B52" s="198"/>
      <c r="C52" s="198"/>
      <c r="D52" s="198"/>
      <c r="E52" s="198"/>
      <c r="F52" s="198"/>
      <c r="G52" s="198"/>
      <c r="H52" s="198"/>
      <c r="I52" s="247"/>
      <c r="J52" s="198"/>
      <c r="K52" s="247"/>
      <c r="L52" s="198"/>
      <c r="M52" s="249"/>
      <c r="N52" s="198"/>
      <c r="O52" s="247"/>
      <c r="P52" s="198"/>
      <c r="Q52" s="198"/>
      <c r="R52" s="198"/>
      <c r="S52" s="198"/>
      <c r="T52" s="198"/>
      <c r="U52" s="198"/>
      <c r="V52" s="198"/>
      <c r="W52" s="49"/>
      <c r="X52" s="49"/>
      <c r="Y52" s="49"/>
      <c r="Z52" s="49"/>
      <c r="AA52" s="49"/>
      <c r="AB52" s="49"/>
      <c r="AC52" s="49"/>
      <c r="AD52" s="50"/>
    </row>
    <row r="53" spans="1:30">
      <c r="A53" s="49"/>
      <c r="B53" s="202"/>
      <c r="C53" s="202"/>
      <c r="D53" s="202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97"/>
      <c r="X53" s="97"/>
      <c r="Y53" s="97"/>
      <c r="Z53" s="97"/>
      <c r="AA53" s="97"/>
      <c r="AB53" s="98"/>
      <c r="AC53" s="99"/>
      <c r="AD53" s="50"/>
    </row>
    <row r="54" spans="1:30">
      <c r="A54" s="49"/>
      <c r="B54" s="198"/>
      <c r="C54" s="198"/>
      <c r="D54" s="198"/>
      <c r="E54" s="250"/>
      <c r="F54" s="250"/>
      <c r="G54" s="250"/>
      <c r="H54" s="250"/>
      <c r="I54" s="205"/>
      <c r="J54" s="250"/>
      <c r="K54" s="250"/>
      <c r="L54" s="250"/>
      <c r="M54" s="250"/>
      <c r="N54" s="205"/>
      <c r="O54" s="250"/>
      <c r="P54" s="250"/>
      <c r="Q54" s="250"/>
      <c r="R54" s="250"/>
      <c r="S54" s="205"/>
      <c r="T54" s="205"/>
      <c r="U54" s="205"/>
      <c r="V54" s="205"/>
      <c r="W54" s="101"/>
      <c r="X54" s="101"/>
      <c r="Y54" s="101"/>
      <c r="Z54" s="102"/>
      <c r="AA54" s="49"/>
      <c r="AB54" s="49"/>
      <c r="AC54" s="103"/>
      <c r="AD54" s="100"/>
    </row>
    <row r="55" spans="1:30" ht="48.75" customHeight="1">
      <c r="A55" s="104"/>
      <c r="B55" s="198"/>
      <c r="C55" s="198"/>
      <c r="D55" s="198"/>
      <c r="E55" s="304" t="s">
        <v>81</v>
      </c>
      <c r="F55" s="304"/>
      <c r="G55" s="304"/>
      <c r="H55" s="304"/>
      <c r="I55" s="251"/>
      <c r="J55" s="304" t="s">
        <v>82</v>
      </c>
      <c r="K55" s="305"/>
      <c r="L55" s="305"/>
      <c r="M55" s="305"/>
      <c r="N55" s="252"/>
      <c r="O55" s="304" t="s">
        <v>83</v>
      </c>
      <c r="P55" s="305"/>
      <c r="Q55" s="305"/>
      <c r="R55" s="305"/>
      <c r="S55" s="205"/>
      <c r="T55" s="205"/>
      <c r="U55" s="205"/>
      <c r="V55" s="205"/>
      <c r="W55" s="101"/>
      <c r="X55" s="101"/>
      <c r="Y55" s="101"/>
      <c r="Z55" s="102"/>
      <c r="AA55" s="49"/>
      <c r="AB55" s="49"/>
      <c r="AC55" s="103"/>
      <c r="AD55" s="100"/>
    </row>
    <row r="56" spans="1:30" ht="48.75" customHeight="1">
      <c r="A56" s="104"/>
      <c r="B56" s="198"/>
      <c r="C56" s="198"/>
      <c r="D56" s="198"/>
      <c r="E56" s="253"/>
      <c r="F56" s="253"/>
      <c r="G56" s="253"/>
      <c r="H56" s="253"/>
      <c r="I56" s="251"/>
      <c r="J56" s="253"/>
      <c r="K56" s="254"/>
      <c r="L56" s="254"/>
      <c r="M56" s="254"/>
      <c r="N56" s="252"/>
      <c r="O56" s="253"/>
      <c r="P56" s="254"/>
      <c r="Q56" s="254"/>
      <c r="R56" s="254"/>
      <c r="S56" s="205"/>
      <c r="T56" s="205"/>
      <c r="U56" s="205"/>
      <c r="V56" s="205"/>
      <c r="W56" s="101"/>
      <c r="X56" s="101"/>
      <c r="Y56" s="101"/>
      <c r="Z56" s="102"/>
      <c r="AA56" s="49"/>
      <c r="AB56" s="49"/>
      <c r="AC56" s="103"/>
      <c r="AD56" s="100"/>
    </row>
    <row r="57" spans="1:30" ht="48.75" customHeight="1">
      <c r="A57" s="104"/>
      <c r="B57" s="198"/>
      <c r="C57" s="198"/>
      <c r="D57" s="198"/>
      <c r="E57" s="253"/>
      <c r="F57" s="253"/>
      <c r="G57" s="253"/>
      <c r="H57" s="253"/>
      <c r="I57" s="251"/>
      <c r="J57" s="253"/>
      <c r="K57" s="254"/>
      <c r="L57" s="254"/>
      <c r="M57" s="254"/>
      <c r="N57" s="252"/>
      <c r="O57" s="253"/>
      <c r="P57" s="254"/>
      <c r="Q57" s="254"/>
      <c r="R57" s="254"/>
      <c r="S57" s="205"/>
      <c r="T57" s="205"/>
      <c r="U57" s="205"/>
      <c r="V57" s="205"/>
      <c r="W57" s="101"/>
      <c r="X57" s="101"/>
      <c r="Y57" s="101"/>
      <c r="Z57" s="102"/>
      <c r="AA57" s="49"/>
      <c r="AB57" s="49"/>
      <c r="AC57" s="103"/>
      <c r="AD57" s="100"/>
    </row>
    <row r="58" spans="1:30" ht="29.25" customHeight="1">
      <c r="A58" s="104"/>
      <c r="B58" s="198"/>
      <c r="C58" s="198"/>
      <c r="D58" s="198"/>
      <c r="E58" s="253"/>
      <c r="F58" s="254"/>
      <c r="G58" s="254"/>
      <c r="H58" s="254"/>
      <c r="I58" s="251"/>
      <c r="J58" s="253"/>
      <c r="K58" s="254"/>
      <c r="L58" s="254"/>
      <c r="M58" s="254"/>
      <c r="N58" s="252"/>
      <c r="O58" s="253"/>
      <c r="P58" s="254"/>
      <c r="Q58" s="254"/>
      <c r="R58" s="254"/>
      <c r="S58" s="205"/>
      <c r="T58" s="205"/>
      <c r="U58" s="205"/>
      <c r="V58" s="205"/>
      <c r="W58" s="101"/>
      <c r="X58" s="101"/>
      <c r="Y58" s="101"/>
      <c r="Z58" s="102"/>
      <c r="AA58" s="49"/>
      <c r="AB58" s="49"/>
      <c r="AC58" s="103"/>
      <c r="AD58" s="100"/>
    </row>
    <row r="59" spans="1:30" ht="18.75" customHeight="1">
      <c r="A59" s="104"/>
      <c r="B59" s="198"/>
      <c r="C59" s="198"/>
      <c r="D59" s="198"/>
      <c r="E59" s="250"/>
      <c r="F59" s="250"/>
      <c r="G59" s="250"/>
      <c r="H59" s="250"/>
      <c r="I59" s="251"/>
      <c r="J59" s="204"/>
      <c r="K59" s="204"/>
      <c r="L59" s="204"/>
      <c r="M59" s="204"/>
      <c r="N59" s="252"/>
      <c r="O59" s="255"/>
      <c r="P59" s="255"/>
      <c r="Q59" s="255"/>
      <c r="R59" s="255"/>
      <c r="S59" s="205"/>
      <c r="T59" s="205"/>
      <c r="U59" s="205"/>
      <c r="V59" s="205"/>
      <c r="W59" s="101"/>
      <c r="X59" s="101"/>
      <c r="Y59" s="101"/>
      <c r="Z59" s="102"/>
      <c r="AA59" s="49"/>
      <c r="AB59" s="49"/>
      <c r="AC59" s="103"/>
      <c r="AD59" s="100"/>
    </row>
    <row r="60" spans="1:30" ht="15.75" customHeight="1">
      <c r="A60" s="104"/>
      <c r="B60" s="198"/>
      <c r="C60" s="198"/>
      <c r="D60" s="198"/>
      <c r="E60" s="306" t="s">
        <v>88</v>
      </c>
      <c r="F60" s="306"/>
      <c r="G60" s="306"/>
      <c r="H60" s="306"/>
      <c r="I60" s="256"/>
      <c r="J60" s="308"/>
      <c r="K60" s="308"/>
      <c r="L60" s="308"/>
      <c r="M60" s="308"/>
      <c r="N60" s="256"/>
      <c r="O60" s="257"/>
      <c r="P60" s="258" t="s">
        <v>84</v>
      </c>
      <c r="Q60" s="257"/>
      <c r="R60" s="257"/>
      <c r="S60" s="198"/>
      <c r="T60" s="198"/>
      <c r="U60" s="198"/>
      <c r="V60" s="198" t="s">
        <v>73</v>
      </c>
      <c r="W60" s="49"/>
      <c r="X60" s="49"/>
      <c r="Y60" s="49"/>
      <c r="Z60" s="49"/>
      <c r="AA60" s="49"/>
      <c r="AB60" s="49"/>
      <c r="AC60" s="49"/>
      <c r="AD60" s="104"/>
    </row>
    <row r="61" spans="1:30" ht="18.75">
      <c r="B61" s="235"/>
      <c r="C61" s="235"/>
      <c r="D61" s="235"/>
      <c r="E61" s="307"/>
      <c r="F61" s="307"/>
      <c r="G61" s="307"/>
      <c r="H61" s="307"/>
      <c r="I61" s="259"/>
      <c r="J61" s="309"/>
      <c r="K61" s="309"/>
      <c r="L61" s="309"/>
      <c r="M61" s="309"/>
      <c r="N61" s="259"/>
      <c r="O61" s="259"/>
      <c r="P61" s="258" t="s">
        <v>87</v>
      </c>
      <c r="Q61" s="259"/>
      <c r="R61" s="259"/>
      <c r="S61" s="235"/>
      <c r="T61" s="235"/>
      <c r="U61" s="235"/>
      <c r="V61" s="235"/>
    </row>
    <row r="62" spans="1:30" ht="18.75">
      <c r="B62" s="235"/>
      <c r="C62" s="235"/>
      <c r="D62" s="235"/>
      <c r="E62" s="259"/>
      <c r="F62" s="235"/>
      <c r="G62" s="258" t="s">
        <v>93</v>
      </c>
      <c r="H62" s="259"/>
      <c r="I62" s="259"/>
      <c r="J62" s="259"/>
      <c r="K62" s="259"/>
      <c r="L62" s="259"/>
      <c r="M62" s="259"/>
      <c r="N62" s="259"/>
      <c r="O62" s="259"/>
      <c r="P62" s="235"/>
      <c r="Q62" s="259"/>
      <c r="R62" s="259"/>
      <c r="S62" s="235"/>
      <c r="T62" s="235"/>
      <c r="U62" s="235"/>
      <c r="V62" s="235"/>
    </row>
    <row r="63" spans="1:30" ht="15.75"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8"/>
      <c r="P63" s="168"/>
      <c r="Q63" s="168"/>
      <c r="R63" s="168"/>
    </row>
    <row r="64" spans="1:30" ht="15.75">
      <c r="O64" s="168"/>
      <c r="P64" s="168"/>
      <c r="Q64" s="168"/>
      <c r="R64" s="168"/>
    </row>
  </sheetData>
  <mergeCells count="8">
    <mergeCell ref="B1:V1"/>
    <mergeCell ref="B2:V2"/>
    <mergeCell ref="E55:H55"/>
    <mergeCell ref="J55:M55"/>
    <mergeCell ref="O55:R55"/>
    <mergeCell ref="E60:H61"/>
    <mergeCell ref="J60:M60"/>
    <mergeCell ref="J61:M61"/>
  </mergeCells>
  <pageMargins left="0.51181102362204722" right="0.51181102362204722" top="0.78740157480314965" bottom="0.78740157480314965" header="0.31496062992125984" footer="0.31496062992125984"/>
  <pageSetup paperSize="9" scale="4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4</vt:i4>
      </vt:variant>
    </vt:vector>
  </HeadingPairs>
  <TitlesOfParts>
    <vt:vector size="11" baseType="lpstr">
      <vt:lpstr>Lei</vt:lpstr>
      <vt:lpstr>Receita 19_20_21</vt:lpstr>
      <vt:lpstr>Despesa 19_20_21</vt:lpstr>
      <vt:lpstr>Cronograma Previsto</vt:lpstr>
      <vt:lpstr>Cronograma Ajustado</vt:lpstr>
      <vt:lpstr>Cronog Exec 1 trimstre</vt:lpstr>
      <vt:lpstr>Cronograma c superavit</vt:lpstr>
      <vt:lpstr>'Cronograma Ajustado'!Area_de_impressao</vt:lpstr>
      <vt:lpstr>'Cronograma Previsto'!Area_de_impressao</vt:lpstr>
      <vt:lpstr>'Despesa 19_20_21'!Area_de_impressao</vt:lpstr>
      <vt:lpstr>'Receita 19_20_21'!Area_de_impressao</vt:lpstr>
    </vt:vector>
  </TitlesOfParts>
  <Company>Conselho Regional de Enfermagem de São Paulo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valdiana.araujo</dc:creator>
  <cp:lastModifiedBy>william.francisco</cp:lastModifiedBy>
  <cp:lastPrinted>2023-06-13T17:06:47Z</cp:lastPrinted>
  <dcterms:created xsi:type="dcterms:W3CDTF">2016-10-19T13:47:04Z</dcterms:created>
  <dcterms:modified xsi:type="dcterms:W3CDTF">2023-06-26T13:36:29Z</dcterms:modified>
</cp:coreProperties>
</file>